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codeName="ThisWorkbook" defaultThemeVersion="124226"/>
  <mc:AlternateContent xmlns:mc="http://schemas.openxmlformats.org/markup-compatibility/2006">
    <mc:Choice Requires="x15">
      <x15ac:absPath xmlns:x15ac="http://schemas.microsoft.com/office/spreadsheetml/2010/11/ac" url="https://fcogovuk-my.sharepoint.com/personal/maimuna_abdalla_fcdo_gov_uk/Documents/Documents/Humanitarian cover 2025/Better Lives/Log Frame April 2026/"/>
    </mc:Choice>
  </mc:AlternateContent>
  <xr:revisionPtr revIDLastSave="0" documentId="8_{46D8041B-A561-447C-BD77-726CFDE02A4B}" xr6:coauthVersionLast="47" xr6:coauthVersionMax="47" xr10:uidLastSave="{00000000-0000-0000-0000-000000000000}"/>
  <bookViews>
    <workbookView xWindow="-110" yWindow="-110" windowWidth="19420" windowHeight="10300" firstSheet="8" activeTab="8" xr2:uid="{00000000-000D-0000-FFFF-FFFF00000000}"/>
  </bookViews>
  <sheets>
    <sheet name="Guidance Notes" sheetId="4" r:id="rId1"/>
    <sheet name="Logframe June 2022" sheetId="11" r:id="rId2"/>
    <sheet name="Indicator Formula for July 2022" sheetId="15" r:id="rId3"/>
    <sheet name="Change frame July 2022" sheetId="14" r:id="rId4"/>
    <sheet name="Catchment Population July 2022" sheetId="13" r:id="rId5"/>
    <sheet name="Logframe Final July 2022" sheetId="12" r:id="rId6"/>
    <sheet name="Indicator formulation 2026 LF" sheetId="5" r:id="rId7"/>
    <sheet name="Change frame 2026 LF" sheetId="3" r:id="rId8"/>
    <sheet name="Logframe V Final Version 2026" sheetId="1" r:id="rId9"/>
    <sheet name="Logframe Partners" sheetId="6" state="hidden" r:id="rId10"/>
    <sheet name="Catchment Population 2026" sheetId="9" r:id="rId11"/>
    <sheet name="Align with DHIS2 2026" sheetId="10" r:id="rId12"/>
  </sheets>
  <externalReferences>
    <externalReference r:id="rId13"/>
    <externalReference r:id="rId14"/>
    <externalReference r:id="rId15"/>
  </externalReferences>
  <definedNames>
    <definedName name="_xlnm._FilterDatabase" localSheetId="10" hidden="1">'Catchment Population 2026'!$B$2:$N$90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13" l="1"/>
  <c r="I89" i="13"/>
  <c r="M89" i="13" s="1"/>
  <c r="I88" i="13"/>
  <c r="K88" i="13" s="1"/>
  <c r="I87" i="13"/>
  <c r="N87" i="13" s="1"/>
  <c r="I86" i="13"/>
  <c r="N86" i="13" s="1"/>
  <c r="I85" i="13"/>
  <c r="L85" i="13" s="1"/>
  <c r="I84" i="13"/>
  <c r="J84" i="13" s="1"/>
  <c r="I83" i="13"/>
  <c r="N83" i="13" s="1"/>
  <c r="M82" i="13"/>
  <c r="K82" i="13"/>
  <c r="I82" i="13"/>
  <c r="N82" i="13" s="1"/>
  <c r="M81" i="13"/>
  <c r="K81" i="13"/>
  <c r="I81" i="13"/>
  <c r="L81" i="13" s="1"/>
  <c r="K80" i="13"/>
  <c r="I80" i="13"/>
  <c r="J80" i="13" s="1"/>
  <c r="I79" i="13"/>
  <c r="N79" i="13" s="1"/>
  <c r="M78" i="13"/>
  <c r="K78" i="13"/>
  <c r="I78" i="13"/>
  <c r="N78" i="13" s="1"/>
  <c r="M77" i="13"/>
  <c r="K77" i="13"/>
  <c r="I77" i="13"/>
  <c r="L77" i="13" s="1"/>
  <c r="K76" i="13"/>
  <c r="I76" i="13"/>
  <c r="J76" i="13" s="1"/>
  <c r="I75" i="13"/>
  <c r="N75" i="13" s="1"/>
  <c r="M74" i="13"/>
  <c r="K74" i="13"/>
  <c r="I74" i="13"/>
  <c r="N74" i="13" s="1"/>
  <c r="M73" i="13"/>
  <c r="K73" i="13"/>
  <c r="I73" i="13"/>
  <c r="L73" i="13" s="1"/>
  <c r="K72" i="13"/>
  <c r="I72" i="13"/>
  <c r="J72" i="13" s="1"/>
  <c r="I71" i="13"/>
  <c r="N71" i="13" s="1"/>
  <c r="M70" i="13"/>
  <c r="K70" i="13"/>
  <c r="I70" i="13"/>
  <c r="N70" i="13" s="1"/>
  <c r="M69" i="13"/>
  <c r="K69" i="13"/>
  <c r="I69" i="13"/>
  <c r="L69" i="13" s="1"/>
  <c r="K68" i="13"/>
  <c r="I68" i="13"/>
  <c r="J68" i="13" s="1"/>
  <c r="I67" i="13"/>
  <c r="N67" i="13" s="1"/>
  <c r="M66" i="13"/>
  <c r="K66" i="13"/>
  <c r="I66" i="13"/>
  <c r="N66" i="13" s="1"/>
  <c r="M65" i="13"/>
  <c r="K65" i="13"/>
  <c r="I65" i="13"/>
  <c r="L65" i="13" s="1"/>
  <c r="K64" i="13"/>
  <c r="I64" i="13"/>
  <c r="J64" i="13" s="1"/>
  <c r="I63" i="13"/>
  <c r="N63" i="13" s="1"/>
  <c r="M62" i="13"/>
  <c r="K62" i="13"/>
  <c r="I62" i="13"/>
  <c r="N62" i="13" s="1"/>
  <c r="M61" i="13"/>
  <c r="K61" i="13"/>
  <c r="I61" i="13"/>
  <c r="L61" i="13" s="1"/>
  <c r="K60" i="13"/>
  <c r="I60" i="13"/>
  <c r="J60" i="13" s="1"/>
  <c r="I59" i="13"/>
  <c r="N59" i="13" s="1"/>
  <c r="M58" i="13"/>
  <c r="K58" i="13"/>
  <c r="I58" i="13"/>
  <c r="N58" i="13" s="1"/>
  <c r="M57" i="13"/>
  <c r="K57" i="13"/>
  <c r="I57" i="13"/>
  <c r="L57" i="13" s="1"/>
  <c r="K56" i="13"/>
  <c r="I56" i="13"/>
  <c r="J56" i="13" s="1"/>
  <c r="I55" i="13"/>
  <c r="N55" i="13" s="1"/>
  <c r="M54" i="13"/>
  <c r="K54" i="13"/>
  <c r="I54" i="13"/>
  <c r="N54" i="13" s="1"/>
  <c r="M53" i="13"/>
  <c r="K53" i="13"/>
  <c r="I53" i="13"/>
  <c r="L53" i="13" s="1"/>
  <c r="K52" i="13"/>
  <c r="I52" i="13"/>
  <c r="J52" i="13" s="1"/>
  <c r="I51" i="13"/>
  <c r="N51" i="13" s="1"/>
  <c r="M50" i="13"/>
  <c r="K50" i="13"/>
  <c r="I50" i="13"/>
  <c r="N50" i="13" s="1"/>
  <c r="M49" i="13"/>
  <c r="K49" i="13"/>
  <c r="I49" i="13"/>
  <c r="L49" i="13" s="1"/>
  <c r="K48" i="13"/>
  <c r="I48" i="13"/>
  <c r="J48" i="13" s="1"/>
  <c r="I47" i="13"/>
  <c r="N47" i="13" s="1"/>
  <c r="M46" i="13"/>
  <c r="K46" i="13"/>
  <c r="I46" i="13"/>
  <c r="N46" i="13" s="1"/>
  <c r="M45" i="13"/>
  <c r="K45" i="13"/>
  <c r="I45" i="13"/>
  <c r="L45" i="13" s="1"/>
  <c r="I44" i="13"/>
  <c r="J44" i="13" s="1"/>
  <c r="I43" i="13"/>
  <c r="N43" i="13" s="1"/>
  <c r="M42" i="13"/>
  <c r="K42" i="13"/>
  <c r="I42" i="13"/>
  <c r="N42" i="13" s="1"/>
  <c r="M41" i="13"/>
  <c r="K41" i="13"/>
  <c r="I41" i="13"/>
  <c r="L41" i="13" s="1"/>
  <c r="I40" i="13"/>
  <c r="J40" i="13" s="1"/>
  <c r="I39" i="13"/>
  <c r="N39" i="13" s="1"/>
  <c r="M38" i="13"/>
  <c r="K38" i="13"/>
  <c r="I38" i="13"/>
  <c r="N38" i="13" s="1"/>
  <c r="M37" i="13"/>
  <c r="K37" i="13"/>
  <c r="I37" i="13"/>
  <c r="L37" i="13" s="1"/>
  <c r="I36" i="13"/>
  <c r="K36" i="13" s="1"/>
  <c r="I35" i="13"/>
  <c r="N35" i="13" s="1"/>
  <c r="M34" i="13"/>
  <c r="K34" i="13"/>
  <c r="I34" i="13"/>
  <c r="N34" i="13" s="1"/>
  <c r="M33" i="13"/>
  <c r="K33" i="13"/>
  <c r="I33" i="13"/>
  <c r="L33" i="13" s="1"/>
  <c r="I32" i="13"/>
  <c r="K32" i="13" s="1"/>
  <c r="I31" i="13"/>
  <c r="N31" i="13" s="1"/>
  <c r="M30" i="13"/>
  <c r="K30" i="13"/>
  <c r="I30" i="13"/>
  <c r="N30" i="13" s="1"/>
  <c r="M29" i="13"/>
  <c r="K29" i="13"/>
  <c r="I29" i="13"/>
  <c r="L29" i="13" s="1"/>
  <c r="I28" i="13"/>
  <c r="K28" i="13" s="1"/>
  <c r="I27" i="13"/>
  <c r="N27" i="13" s="1"/>
  <c r="M26" i="13"/>
  <c r="K26" i="13"/>
  <c r="I26" i="13"/>
  <c r="N26" i="13" s="1"/>
  <c r="M25" i="13"/>
  <c r="K25" i="13"/>
  <c r="I25" i="13"/>
  <c r="L25" i="13" s="1"/>
  <c r="I24" i="13"/>
  <c r="J24" i="13" s="1"/>
  <c r="I23" i="13"/>
  <c r="N23" i="13" s="1"/>
  <c r="M22" i="13"/>
  <c r="K22" i="13"/>
  <c r="I22" i="13"/>
  <c r="N22" i="13" s="1"/>
  <c r="M21" i="13"/>
  <c r="K21" i="13"/>
  <c r="I21" i="13"/>
  <c r="L21" i="13" s="1"/>
  <c r="I20" i="13"/>
  <c r="J20" i="13" s="1"/>
  <c r="I19" i="13"/>
  <c r="N19" i="13" s="1"/>
  <c r="M18" i="13"/>
  <c r="K18" i="13"/>
  <c r="I18" i="13"/>
  <c r="N18" i="13" s="1"/>
  <c r="M17" i="13"/>
  <c r="K17" i="13"/>
  <c r="I17" i="13"/>
  <c r="L17" i="13" s="1"/>
  <c r="I16" i="13"/>
  <c r="J16" i="13" s="1"/>
  <c r="I15" i="13"/>
  <c r="N15" i="13" s="1"/>
  <c r="M14" i="13"/>
  <c r="K14" i="13"/>
  <c r="I14" i="13"/>
  <c r="N14" i="13" s="1"/>
  <c r="M13" i="13"/>
  <c r="K13" i="13"/>
  <c r="I13" i="13"/>
  <c r="L13" i="13" s="1"/>
  <c r="I12" i="13"/>
  <c r="J12" i="13" s="1"/>
  <c r="I11" i="13"/>
  <c r="N11" i="13" s="1"/>
  <c r="I10" i="13"/>
  <c r="N10" i="13" s="1"/>
  <c r="M9" i="13"/>
  <c r="K9" i="13"/>
  <c r="I9" i="13"/>
  <c r="L9" i="13" s="1"/>
  <c r="I8" i="13"/>
  <c r="J8" i="13" s="1"/>
  <c r="I7" i="13"/>
  <c r="N7" i="13" s="1"/>
  <c r="M6" i="13"/>
  <c r="I6" i="13"/>
  <c r="N6" i="13" s="1"/>
  <c r="M5" i="13"/>
  <c r="K5" i="13"/>
  <c r="I5" i="13"/>
  <c r="L5" i="13" s="1"/>
  <c r="I4" i="13"/>
  <c r="J4" i="13" s="1"/>
  <c r="I3" i="13"/>
  <c r="N3" i="13" s="1"/>
  <c r="K16" i="13" l="1"/>
  <c r="K20" i="13"/>
  <c r="K24" i="13"/>
  <c r="K40" i="13"/>
  <c r="K44" i="13"/>
  <c r="K84" i="13"/>
  <c r="M85" i="13"/>
  <c r="J3" i="13"/>
  <c r="L4" i="13"/>
  <c r="N5" i="13"/>
  <c r="J7" i="13"/>
  <c r="L8" i="13"/>
  <c r="N9" i="13"/>
  <c r="J11" i="13"/>
  <c r="L12" i="13"/>
  <c r="N13" i="13"/>
  <c r="J15" i="13"/>
  <c r="L16" i="13"/>
  <c r="N17" i="13"/>
  <c r="J19" i="13"/>
  <c r="L20" i="13"/>
  <c r="N21" i="13"/>
  <c r="J23" i="13"/>
  <c r="L24" i="13"/>
  <c r="N25" i="13"/>
  <c r="J27" i="13"/>
  <c r="L28" i="13"/>
  <c r="N29" i="13"/>
  <c r="J31" i="13"/>
  <c r="L32" i="13"/>
  <c r="N33" i="13"/>
  <c r="J35" i="13"/>
  <c r="L36" i="13"/>
  <c r="N37" i="13"/>
  <c r="J39" i="13"/>
  <c r="L40" i="13"/>
  <c r="N41" i="13"/>
  <c r="J43" i="13"/>
  <c r="L44" i="13"/>
  <c r="N45" i="13"/>
  <c r="J47" i="13"/>
  <c r="L48" i="13"/>
  <c r="N49" i="13"/>
  <c r="J51" i="13"/>
  <c r="L52" i="13"/>
  <c r="N53" i="13"/>
  <c r="J55" i="13"/>
  <c r="L56" i="13"/>
  <c r="N57" i="13"/>
  <c r="J59" i="13"/>
  <c r="L60" i="13"/>
  <c r="N61" i="13"/>
  <c r="J63" i="13"/>
  <c r="L64" i="13"/>
  <c r="N65" i="13"/>
  <c r="J67" i="13"/>
  <c r="L68" i="13"/>
  <c r="N69" i="13"/>
  <c r="J71" i="13"/>
  <c r="L72" i="13"/>
  <c r="N73" i="13"/>
  <c r="J75" i="13"/>
  <c r="L76" i="13"/>
  <c r="N77" i="13"/>
  <c r="J79" i="13"/>
  <c r="L80" i="13"/>
  <c r="N81" i="13"/>
  <c r="J83" i="13"/>
  <c r="L84" i="13"/>
  <c r="N85" i="13"/>
  <c r="J87" i="13"/>
  <c r="L88" i="13"/>
  <c r="N89" i="13"/>
  <c r="K11" i="13"/>
  <c r="M12" i="13"/>
  <c r="K15" i="13"/>
  <c r="M16" i="13"/>
  <c r="K19" i="13"/>
  <c r="M20" i="13"/>
  <c r="K23" i="13"/>
  <c r="M24" i="13"/>
  <c r="K27" i="13"/>
  <c r="M28" i="13"/>
  <c r="K31" i="13"/>
  <c r="M32" i="13"/>
  <c r="K35" i="13"/>
  <c r="M36" i="13"/>
  <c r="K39" i="13"/>
  <c r="M40" i="13"/>
  <c r="K43" i="13"/>
  <c r="M44" i="13"/>
  <c r="K47" i="13"/>
  <c r="M48" i="13"/>
  <c r="K51" i="13"/>
  <c r="M52" i="13"/>
  <c r="K55" i="13"/>
  <c r="M56" i="13"/>
  <c r="K59" i="13"/>
  <c r="M60" i="13"/>
  <c r="K63" i="13"/>
  <c r="M64" i="13"/>
  <c r="K67" i="13"/>
  <c r="M68" i="13"/>
  <c r="K71" i="13"/>
  <c r="M72" i="13"/>
  <c r="K75" i="13"/>
  <c r="M76" i="13"/>
  <c r="K79" i="13"/>
  <c r="M80" i="13"/>
  <c r="K83" i="13"/>
  <c r="M84" i="13"/>
  <c r="M88" i="13"/>
  <c r="K87" i="13"/>
  <c r="L3" i="13"/>
  <c r="N4" i="13"/>
  <c r="N90" i="13" s="1"/>
  <c r="J6" i="13"/>
  <c r="L7" i="13"/>
  <c r="N8" i="13"/>
  <c r="J10" i="13"/>
  <c r="L11" i="13"/>
  <c r="N12" i="13"/>
  <c r="J14" i="13"/>
  <c r="L15" i="13"/>
  <c r="N16" i="13"/>
  <c r="J18" i="13"/>
  <c r="L19" i="13"/>
  <c r="N20" i="13"/>
  <c r="J22" i="13"/>
  <c r="L23" i="13"/>
  <c r="N24" i="13"/>
  <c r="J26" i="13"/>
  <c r="L27" i="13"/>
  <c r="N28" i="13"/>
  <c r="J30" i="13"/>
  <c r="L31" i="13"/>
  <c r="N32" i="13"/>
  <c r="J34" i="13"/>
  <c r="L35" i="13"/>
  <c r="N36" i="13"/>
  <c r="J38" i="13"/>
  <c r="L39" i="13"/>
  <c r="N40" i="13"/>
  <c r="J42" i="13"/>
  <c r="L43" i="13"/>
  <c r="N44" i="13"/>
  <c r="J46" i="13"/>
  <c r="L47" i="13"/>
  <c r="N48" i="13"/>
  <c r="J50" i="13"/>
  <c r="L51" i="13"/>
  <c r="N52" i="13"/>
  <c r="J54" i="13"/>
  <c r="L55" i="13"/>
  <c r="N56" i="13"/>
  <c r="J58" i="13"/>
  <c r="L59" i="13"/>
  <c r="N60" i="13"/>
  <c r="J62" i="13"/>
  <c r="L63" i="13"/>
  <c r="N64" i="13"/>
  <c r="J66" i="13"/>
  <c r="L67" i="13"/>
  <c r="N68" i="13"/>
  <c r="J70" i="13"/>
  <c r="L71" i="13"/>
  <c r="N72" i="13"/>
  <c r="J74" i="13"/>
  <c r="L75" i="13"/>
  <c r="N76" i="13"/>
  <c r="J78" i="13"/>
  <c r="L79" i="13"/>
  <c r="N80" i="13"/>
  <c r="J82" i="13"/>
  <c r="L83" i="13"/>
  <c r="N84" i="13"/>
  <c r="J86" i="13"/>
  <c r="L87" i="13"/>
  <c r="N88" i="13"/>
  <c r="I90" i="13"/>
  <c r="K4" i="13"/>
  <c r="K8" i="13"/>
  <c r="K12" i="13"/>
  <c r="K3" i="13"/>
  <c r="K90" i="13" s="1"/>
  <c r="M4" i="13"/>
  <c r="K7" i="13"/>
  <c r="M8" i="13"/>
  <c r="M3" i="13"/>
  <c r="K6" i="13"/>
  <c r="M7" i="13"/>
  <c r="K10" i="13"/>
  <c r="M11" i="13"/>
  <c r="M15" i="13"/>
  <c r="M19" i="13"/>
  <c r="M23" i="13"/>
  <c r="M27" i="13"/>
  <c r="M31" i="13"/>
  <c r="M35" i="13"/>
  <c r="M39" i="13"/>
  <c r="M43" i="13"/>
  <c r="M47" i="13"/>
  <c r="M51" i="13"/>
  <c r="M55" i="13"/>
  <c r="M59" i="13"/>
  <c r="M63" i="13"/>
  <c r="M67" i="13"/>
  <c r="M71" i="13"/>
  <c r="M75" i="13"/>
  <c r="M79" i="13"/>
  <c r="M83" i="13"/>
  <c r="K86" i="13"/>
  <c r="M87" i="13"/>
  <c r="J5" i="13"/>
  <c r="L6" i="13"/>
  <c r="J9" i="13"/>
  <c r="L10" i="13"/>
  <c r="J13" i="13"/>
  <c r="L14" i="13"/>
  <c r="J17" i="13"/>
  <c r="L18" i="13"/>
  <c r="J21" i="13"/>
  <c r="L22" i="13"/>
  <c r="J25" i="13"/>
  <c r="L26" i="13"/>
  <c r="J29" i="13"/>
  <c r="L30" i="13"/>
  <c r="J33" i="13"/>
  <c r="L34" i="13"/>
  <c r="J37" i="13"/>
  <c r="L38" i="13"/>
  <c r="J41" i="13"/>
  <c r="L42" i="13"/>
  <c r="J45" i="13"/>
  <c r="L46" i="13"/>
  <c r="J49" i="13"/>
  <c r="L50" i="13"/>
  <c r="J53" i="13"/>
  <c r="L54" i="13"/>
  <c r="J57" i="13"/>
  <c r="L58" i="13"/>
  <c r="J61" i="13"/>
  <c r="L62" i="13"/>
  <c r="J65" i="13"/>
  <c r="L66" i="13"/>
  <c r="J69" i="13"/>
  <c r="L70" i="13"/>
  <c r="J73" i="13"/>
  <c r="L74" i="13"/>
  <c r="J77" i="13"/>
  <c r="L78" i="13"/>
  <c r="J81" i="13"/>
  <c r="L82" i="13"/>
  <c r="J85" i="13"/>
  <c r="L86" i="13"/>
  <c r="J89" i="13"/>
  <c r="M10" i="13"/>
  <c r="K85" i="13"/>
  <c r="M86" i="13"/>
  <c r="K89" i="13"/>
  <c r="J28" i="13"/>
  <c r="J32" i="13"/>
  <c r="J36" i="13"/>
  <c r="J88" i="13"/>
  <c r="L89" i="13"/>
  <c r="L90" i="13" l="1"/>
  <c r="M90" i="13"/>
  <c r="J90" i="13"/>
  <c r="G140" i="12" l="1"/>
  <c r="H140" i="12" s="1"/>
  <c r="I139" i="12"/>
  <c r="J139" i="12" s="1"/>
  <c r="K139" i="12" s="1"/>
  <c r="F139" i="12"/>
  <c r="G139" i="12" s="1"/>
  <c r="H139" i="12" s="1"/>
  <c r="H124" i="12"/>
  <c r="G124" i="12"/>
  <c r="H123" i="12"/>
  <c r="H112" i="12"/>
  <c r="G112" i="12"/>
  <c r="H107" i="12"/>
  <c r="G107" i="12"/>
  <c r="G102" i="12"/>
  <c r="H102" i="12" s="1"/>
  <c r="I101" i="12"/>
  <c r="J101" i="12" s="1"/>
  <c r="K101" i="12" s="1"/>
  <c r="G101" i="12"/>
  <c r="F101" i="12"/>
  <c r="H101" i="12" s="1"/>
  <c r="E101" i="12" s="1"/>
  <c r="H97" i="12"/>
  <c r="H80" i="12"/>
  <c r="G80" i="12"/>
  <c r="H75" i="12"/>
  <c r="G75" i="12"/>
  <c r="H70" i="12"/>
  <c r="G70" i="12"/>
  <c r="H50" i="12"/>
  <c r="D49" i="12"/>
  <c r="H40" i="12"/>
  <c r="F40" i="12"/>
  <c r="D39" i="12"/>
  <c r="H35" i="12"/>
  <c r="H30" i="12"/>
  <c r="H25" i="12"/>
  <c r="E68" i="1"/>
  <c r="L95" i="1"/>
  <c r="K95" i="1"/>
  <c r="L49" i="1"/>
  <c r="K49" i="1"/>
  <c r="L39" i="1"/>
  <c r="K39" i="1"/>
  <c r="L34" i="1"/>
  <c r="K34" i="1"/>
  <c r="L29" i="1"/>
  <c r="K29" i="1"/>
  <c r="L24" i="1"/>
  <c r="K24" i="1"/>
  <c r="F109" i="1" l="1"/>
  <c r="L84" i="1"/>
  <c r="N54" i="1"/>
  <c r="F121" i="1"/>
  <c r="K73" i="1"/>
  <c r="L73" i="1" s="1"/>
  <c r="J75" i="1"/>
  <c r="F73" i="1"/>
  <c r="F68" i="1"/>
  <c r="F163" i="1"/>
  <c r="I73" i="1"/>
  <c r="F83" i="1"/>
  <c r="L74" i="1"/>
  <c r="I92" i="9"/>
  <c r="J92" i="9"/>
  <c r="K92" i="9"/>
  <c r="L92" i="9"/>
  <c r="M92" i="9"/>
  <c r="N92" i="9"/>
  <c r="H92" i="9"/>
  <c r="H91" i="9"/>
  <c r="L122" i="1"/>
  <c r="L121" i="1"/>
  <c r="L109" i="1"/>
  <c r="L110" i="1"/>
  <c r="L104" i="1"/>
  <c r="L105" i="1"/>
  <c r="L68" i="1"/>
  <c r="L69" i="1"/>
  <c r="I185" i="1"/>
  <c r="I184" i="1"/>
  <c r="I163" i="1"/>
  <c r="I84" i="1"/>
  <c r="L78" i="1"/>
  <c r="N90" i="9"/>
  <c r="N91" i="9"/>
  <c r="I54" i="1"/>
  <c r="J24" i="1"/>
  <c r="I109" i="1"/>
  <c r="I110" i="1"/>
  <c r="L113" i="1" s="1"/>
  <c r="I104" i="1"/>
  <c r="I105" i="1"/>
  <c r="I78" i="1"/>
  <c r="I74" i="1"/>
  <c r="I68" i="1"/>
  <c r="J95" i="1"/>
  <c r="J49" i="1"/>
  <c r="J39" i="1"/>
  <c r="J34" i="1"/>
  <c r="J29" i="1"/>
  <c r="I90" i="9"/>
  <c r="L79" i="1"/>
  <c r="L164" i="1"/>
  <c r="I24" i="1"/>
  <c r="H24" i="1"/>
  <c r="G24" i="1"/>
  <c r="I164" i="1"/>
  <c r="I95" i="1"/>
  <c r="H95" i="1"/>
  <c r="G95" i="1"/>
  <c r="I49" i="1"/>
  <c r="I39" i="1"/>
  <c r="H39" i="1"/>
  <c r="G39" i="1"/>
  <c r="I34" i="1"/>
  <c r="H34" i="1"/>
  <c r="G34" i="1"/>
  <c r="I29" i="1"/>
  <c r="H29" i="1"/>
  <c r="G29" i="1"/>
  <c r="K179" i="1"/>
  <c r="F179" i="1" s="1"/>
  <c r="J179" i="1"/>
  <c r="L179" i="1" s="1"/>
  <c r="H179" i="1"/>
  <c r="G179" i="1"/>
  <c r="I179" i="1" s="1"/>
  <c r="H100" i="1"/>
  <c r="H143" i="1"/>
  <c r="I121" i="1"/>
  <c r="I122" i="1"/>
  <c r="I79" i="1"/>
  <c r="I69" i="1"/>
  <c r="L71" i="1" l="1"/>
  <c r="I143" i="1"/>
  <c r="F143" i="1"/>
  <c r="I100" i="1"/>
  <c r="F100" i="1"/>
  <c r="I3" i="9"/>
  <c r="I4" i="9"/>
  <c r="I5" i="9"/>
  <c r="J5" i="9" s="1"/>
  <c r="I6" i="9"/>
  <c r="I7" i="9"/>
  <c r="I8" i="9"/>
  <c r="I9" i="9"/>
  <c r="I10" i="9"/>
  <c r="J10" i="9" s="1"/>
  <c r="I11" i="9"/>
  <c r="I12" i="9"/>
  <c r="I13" i="9"/>
  <c r="I14" i="9"/>
  <c r="I15" i="9"/>
  <c r="I16" i="9"/>
  <c r="I17" i="9"/>
  <c r="J17" i="9" s="1"/>
  <c r="I18" i="9"/>
  <c r="I19" i="9"/>
  <c r="I20" i="9"/>
  <c r="I21" i="9"/>
  <c r="I22" i="9"/>
  <c r="L22" i="9" s="1"/>
  <c r="I23" i="9"/>
  <c r="I24" i="9"/>
  <c r="I25" i="9"/>
  <c r="I26" i="9"/>
  <c r="I27" i="9"/>
  <c r="I28" i="9"/>
  <c r="I29" i="9"/>
  <c r="J29" i="9" s="1"/>
  <c r="I30" i="9"/>
  <c r="I31" i="9"/>
  <c r="I32" i="9"/>
  <c r="I33" i="9"/>
  <c r="I34" i="9"/>
  <c r="J34" i="9" s="1"/>
  <c r="I35" i="9"/>
  <c r="I36" i="9"/>
  <c r="I37" i="9"/>
  <c r="I38" i="9"/>
  <c r="I39" i="9"/>
  <c r="I40" i="9"/>
  <c r="I41" i="9"/>
  <c r="J41" i="9" s="1"/>
  <c r="I42" i="9"/>
  <c r="I43" i="9"/>
  <c r="I44" i="9"/>
  <c r="I45" i="9"/>
  <c r="N45" i="9" s="1"/>
  <c r="I46" i="9"/>
  <c r="K46" i="9" s="1"/>
  <c r="I47" i="9"/>
  <c r="I48" i="9"/>
  <c r="I49" i="9"/>
  <c r="I50" i="9"/>
  <c r="I51" i="9"/>
  <c r="I52" i="9"/>
  <c r="I53" i="9"/>
  <c r="I54" i="9"/>
  <c r="J54" i="9" s="1"/>
  <c r="I55" i="9"/>
  <c r="I56" i="9"/>
  <c r="I57" i="9"/>
  <c r="I58" i="9"/>
  <c r="L58" i="9" s="1"/>
  <c r="I59" i="9"/>
  <c r="I60" i="9"/>
  <c r="I61" i="9"/>
  <c r="I62" i="9"/>
  <c r="I63" i="9"/>
  <c r="I64" i="9"/>
  <c r="I65" i="9"/>
  <c r="I66" i="9"/>
  <c r="J66" i="9" s="1"/>
  <c r="I67" i="9"/>
  <c r="I68" i="9"/>
  <c r="I69" i="9"/>
  <c r="M69" i="9" s="1"/>
  <c r="I70" i="9"/>
  <c r="I71" i="9"/>
  <c r="I72" i="9"/>
  <c r="I73" i="9"/>
  <c r="I74" i="9"/>
  <c r="I75" i="9"/>
  <c r="I76" i="9"/>
  <c r="N76" i="9" s="1"/>
  <c r="I77" i="9"/>
  <c r="I78" i="9"/>
  <c r="J78" i="9" s="1"/>
  <c r="I79" i="9"/>
  <c r="J79" i="9" s="1"/>
  <c r="I80" i="9"/>
  <c r="K80" i="9" s="1"/>
  <c r="I82" i="9"/>
  <c r="I83" i="9"/>
  <c r="I84" i="9"/>
  <c r="I85" i="9"/>
  <c r="I86" i="9"/>
  <c r="I87" i="9"/>
  <c r="I88" i="9"/>
  <c r="I89" i="9"/>
  <c r="D48" i="1"/>
  <c r="N89" i="9" l="1"/>
  <c r="J89" i="9"/>
  <c r="K89" i="9"/>
  <c r="L89" i="9"/>
  <c r="M89" i="9"/>
  <c r="L88" i="9"/>
  <c r="N88" i="9"/>
  <c r="N87" i="9"/>
  <c r="J87" i="9"/>
  <c r="K87" i="9"/>
  <c r="L87" i="9"/>
  <c r="M87" i="9"/>
  <c r="J86" i="9"/>
  <c r="K86" i="9"/>
  <c r="L86" i="9"/>
  <c r="M86" i="9"/>
  <c r="N86" i="9"/>
  <c r="L85" i="9"/>
  <c r="J85" i="9"/>
  <c r="K85" i="9"/>
  <c r="N85" i="9"/>
  <c r="J84" i="9"/>
  <c r="K84" i="9"/>
  <c r="L84" i="9"/>
  <c r="M84" i="9"/>
  <c r="N84" i="9"/>
  <c r="M82" i="9"/>
  <c r="J82" i="9"/>
  <c r="K82" i="9"/>
  <c r="L82" i="9"/>
  <c r="J77" i="9"/>
  <c r="K77" i="9"/>
  <c r="L77" i="9"/>
  <c r="M77" i="9"/>
  <c r="N77" i="9"/>
  <c r="N75" i="9"/>
  <c r="J75" i="9"/>
  <c r="K75" i="9"/>
  <c r="L75" i="9"/>
  <c r="M75" i="9"/>
  <c r="J74" i="9"/>
  <c r="K74" i="9"/>
  <c r="L74" i="9"/>
  <c r="M74" i="9"/>
  <c r="N74" i="9"/>
  <c r="L73" i="9"/>
  <c r="J73" i="9"/>
  <c r="K73" i="9"/>
  <c r="J72" i="9"/>
  <c r="K72" i="9"/>
  <c r="L72" i="9"/>
  <c r="M72" i="9"/>
  <c r="N72" i="9"/>
  <c r="J71" i="9"/>
  <c r="L71" i="9"/>
  <c r="M71" i="9"/>
  <c r="N71" i="9"/>
  <c r="K70" i="9"/>
  <c r="N70" i="9"/>
  <c r="J67" i="9"/>
  <c r="K67" i="9"/>
  <c r="L67" i="9"/>
  <c r="M67" i="9"/>
  <c r="J65" i="9"/>
  <c r="L65" i="9"/>
  <c r="M65" i="9"/>
  <c r="N65" i="9"/>
  <c r="N63" i="9"/>
  <c r="J63" i="9"/>
  <c r="K63" i="9"/>
  <c r="L63" i="9"/>
  <c r="M63" i="9"/>
  <c r="J62" i="9"/>
  <c r="K62" i="9"/>
  <c r="L62" i="9"/>
  <c r="M62" i="9"/>
  <c r="N62" i="9"/>
  <c r="L61" i="9"/>
  <c r="J61" i="9"/>
  <c r="K61" i="9"/>
  <c r="J60" i="9"/>
  <c r="K60" i="9"/>
  <c r="L60" i="9"/>
  <c r="M60" i="9"/>
  <c r="N60" i="9"/>
  <c r="J59" i="9"/>
  <c r="L59" i="9"/>
  <c r="M59" i="9"/>
  <c r="N59" i="9"/>
  <c r="J56" i="9"/>
  <c r="K56" i="9"/>
  <c r="L55" i="9"/>
  <c r="M55" i="9"/>
  <c r="N55" i="9"/>
  <c r="J53" i="9"/>
  <c r="N53" i="9"/>
  <c r="N51" i="9"/>
  <c r="J51" i="9"/>
  <c r="K51" i="9"/>
  <c r="L51" i="9"/>
  <c r="M51" i="9"/>
  <c r="J50" i="9"/>
  <c r="K50" i="9"/>
  <c r="L50" i="9"/>
  <c r="M50" i="9"/>
  <c r="N50" i="9"/>
  <c r="L49" i="9"/>
  <c r="J49" i="9"/>
  <c r="K49" i="9"/>
  <c r="J48" i="9"/>
  <c r="K48" i="9"/>
  <c r="L48" i="9"/>
  <c r="M48" i="9"/>
  <c r="N48" i="9"/>
  <c r="J47" i="9"/>
  <c r="L47" i="9"/>
  <c r="M47" i="9"/>
  <c r="N47" i="9"/>
  <c r="J44" i="9"/>
  <c r="K44" i="9"/>
  <c r="L44" i="9"/>
  <c r="L43" i="9"/>
  <c r="M43" i="9"/>
  <c r="N43" i="9"/>
  <c r="N39" i="9"/>
  <c r="J39" i="9"/>
  <c r="K39" i="9"/>
  <c r="L39" i="9"/>
  <c r="M39" i="9"/>
  <c r="J38" i="9"/>
  <c r="K38" i="9"/>
  <c r="L38" i="9"/>
  <c r="M38" i="9"/>
  <c r="N38" i="9"/>
  <c r="L37" i="9"/>
  <c r="J37" i="9"/>
  <c r="K37" i="9"/>
  <c r="J36" i="9"/>
  <c r="K36" i="9"/>
  <c r="L36" i="9"/>
  <c r="M36" i="9"/>
  <c r="N36" i="9"/>
  <c r="J35" i="9"/>
  <c r="L35" i="9"/>
  <c r="M35" i="9"/>
  <c r="N35" i="9"/>
  <c r="J32" i="9"/>
  <c r="K32" i="9"/>
  <c r="L32" i="9"/>
  <c r="M31" i="9"/>
  <c r="N31" i="9"/>
  <c r="N27" i="9"/>
  <c r="J27" i="9"/>
  <c r="K27" i="9"/>
  <c r="L27" i="9"/>
  <c r="M27" i="9"/>
  <c r="J26" i="9"/>
  <c r="K26" i="9"/>
  <c r="L26" i="9"/>
  <c r="M26" i="9"/>
  <c r="N26" i="9"/>
  <c r="L25" i="9"/>
  <c r="J25" i="9"/>
  <c r="K25" i="9"/>
  <c r="J24" i="9"/>
  <c r="K24" i="9"/>
  <c r="L24" i="9"/>
  <c r="M24" i="9"/>
  <c r="N24" i="9"/>
  <c r="J23" i="9"/>
  <c r="L23" i="9"/>
  <c r="M23" i="9"/>
  <c r="N23" i="9"/>
  <c r="J20" i="9"/>
  <c r="K20" i="9"/>
  <c r="L20" i="9"/>
  <c r="L19" i="9"/>
  <c r="M19" i="9"/>
  <c r="N19" i="9"/>
  <c r="N15" i="9"/>
  <c r="J15" i="9"/>
  <c r="K15" i="9"/>
  <c r="L15" i="9"/>
  <c r="M15" i="9"/>
  <c r="J14" i="9"/>
  <c r="K14" i="9"/>
  <c r="L14" i="9"/>
  <c r="M14" i="9"/>
  <c r="N14" i="9"/>
  <c r="L13" i="9"/>
  <c r="J13" i="9"/>
  <c r="K13" i="9"/>
  <c r="J12" i="9"/>
  <c r="K12" i="9"/>
  <c r="L12" i="9"/>
  <c r="M12" i="9"/>
  <c r="N12" i="9"/>
  <c r="J11" i="9"/>
  <c r="L11" i="9"/>
  <c r="M11" i="9"/>
  <c r="N11" i="9"/>
  <c r="J8" i="9"/>
  <c r="K8" i="9"/>
  <c r="L8" i="9"/>
  <c r="M7" i="9"/>
  <c r="N7" i="9"/>
  <c r="K3" i="9"/>
  <c r="J3" i="9"/>
  <c r="N3" i="9"/>
  <c r="J57" i="9"/>
  <c r="K57" i="9"/>
  <c r="L57" i="9"/>
  <c r="J33" i="9"/>
  <c r="K33" i="9"/>
  <c r="L33" i="9"/>
  <c r="M33" i="9"/>
  <c r="K9" i="9"/>
  <c r="J9" i="9"/>
  <c r="L9" i="9"/>
  <c r="M9" i="9"/>
  <c r="L70" i="9"/>
  <c r="M68" i="9"/>
  <c r="N68" i="9"/>
  <c r="M44" i="9"/>
  <c r="N44" i="9"/>
  <c r="M20" i="9"/>
  <c r="N20" i="9"/>
  <c r="N58" i="9"/>
  <c r="J55" i="9"/>
  <c r="K55" i="9"/>
  <c r="J31" i="9"/>
  <c r="K31" i="9"/>
  <c r="J7" i="9"/>
  <c r="K7" i="9"/>
  <c r="J70" i="9"/>
  <c r="L31" i="9"/>
  <c r="L7" i="9"/>
  <c r="K66" i="9"/>
  <c r="M66" i="9"/>
  <c r="L66" i="9"/>
  <c r="N66" i="9"/>
  <c r="K42" i="9"/>
  <c r="L42" i="9"/>
  <c r="M42" i="9"/>
  <c r="N42" i="9"/>
  <c r="K18" i="9"/>
  <c r="N18" i="9"/>
  <c r="L18" i="9"/>
  <c r="M18" i="9"/>
  <c r="J42" i="9"/>
  <c r="N34" i="9"/>
  <c r="N22" i="9"/>
  <c r="N10" i="9"/>
  <c r="K65" i="9"/>
  <c r="K58" i="9"/>
  <c r="M53" i="9"/>
  <c r="L46" i="9"/>
  <c r="N29" i="9"/>
  <c r="M22" i="9"/>
  <c r="M10" i="9"/>
  <c r="L64" i="9"/>
  <c r="M64" i="9"/>
  <c r="J64" i="9"/>
  <c r="K64" i="9"/>
  <c r="K40" i="9"/>
  <c r="L40" i="9"/>
  <c r="M40" i="9"/>
  <c r="N40" i="9"/>
  <c r="J40" i="9"/>
  <c r="M16" i="9"/>
  <c r="N16" i="9"/>
  <c r="J16" i="9"/>
  <c r="K16" i="9"/>
  <c r="L16" i="9"/>
  <c r="N79" i="9"/>
  <c r="J58" i="9"/>
  <c r="M41" i="9"/>
  <c r="L34" i="9"/>
  <c r="L10" i="9"/>
  <c r="K68" i="9"/>
  <c r="K53" i="9"/>
  <c r="J46" i="9"/>
  <c r="L29" i="9"/>
  <c r="K22" i="9"/>
  <c r="L17" i="9"/>
  <c r="K10" i="9"/>
  <c r="N82" i="9"/>
  <c r="M57" i="9"/>
  <c r="J22" i="9"/>
  <c r="K17" i="9"/>
  <c r="K5" i="9"/>
  <c r="J83" i="9"/>
  <c r="M83" i="9"/>
  <c r="N83" i="9"/>
  <c r="K83" i="9"/>
  <c r="L83" i="9"/>
  <c r="M70" i="9"/>
  <c r="K69" i="9"/>
  <c r="L69" i="9"/>
  <c r="J69" i="9"/>
  <c r="J45" i="9"/>
  <c r="K45" i="9"/>
  <c r="L45" i="9"/>
  <c r="L21" i="9"/>
  <c r="M21" i="9"/>
  <c r="J21" i="9"/>
  <c r="K21" i="9"/>
  <c r="M80" i="9"/>
  <c r="N80" i="9"/>
  <c r="M56" i="9"/>
  <c r="N56" i="9"/>
  <c r="M32" i="9"/>
  <c r="N32" i="9"/>
  <c r="M8" i="9"/>
  <c r="N8" i="9"/>
  <c r="J43" i="9"/>
  <c r="K43" i="9"/>
  <c r="J19" i="9"/>
  <c r="K19" i="9"/>
  <c r="L80" i="9"/>
  <c r="M58" i="9"/>
  <c r="N46" i="9"/>
  <c r="K78" i="9"/>
  <c r="N78" i="9"/>
  <c r="L78" i="9"/>
  <c r="M78" i="9"/>
  <c r="K54" i="9"/>
  <c r="M54" i="9"/>
  <c r="N54" i="9"/>
  <c r="L54" i="9"/>
  <c r="K30" i="9"/>
  <c r="L30" i="9"/>
  <c r="M30" i="9"/>
  <c r="N30" i="9"/>
  <c r="K6" i="9"/>
  <c r="N6" i="9"/>
  <c r="L6" i="9"/>
  <c r="M6" i="9"/>
  <c r="N69" i="9"/>
  <c r="M46" i="9"/>
  <c r="J30" i="9"/>
  <c r="J18" i="9"/>
  <c r="J6" i="9"/>
  <c r="J80" i="9"/>
  <c r="N41" i="9"/>
  <c r="M34" i="9"/>
  <c r="N17" i="9"/>
  <c r="N5" i="9"/>
  <c r="K76" i="9"/>
  <c r="J76" i="9"/>
  <c r="L76" i="9"/>
  <c r="M76" i="9"/>
  <c r="M52" i="9"/>
  <c r="J52" i="9"/>
  <c r="K52" i="9"/>
  <c r="L52" i="9"/>
  <c r="N52" i="9"/>
  <c r="L28" i="9"/>
  <c r="M28" i="9"/>
  <c r="J28" i="9"/>
  <c r="K28" i="9"/>
  <c r="N28" i="9"/>
  <c r="K4" i="9"/>
  <c r="M4" i="9"/>
  <c r="N4" i="9"/>
  <c r="J4" i="9"/>
  <c r="L4" i="9"/>
  <c r="L68" i="9"/>
  <c r="L53" i="9"/>
  <c r="M29" i="9"/>
  <c r="M17" i="9"/>
  <c r="M5" i="9"/>
  <c r="M79" i="9"/>
  <c r="N64" i="9"/>
  <c r="N57" i="9"/>
  <c r="L41" i="9"/>
  <c r="K34" i="9"/>
  <c r="L5" i="9"/>
  <c r="L79" i="9"/>
  <c r="J68" i="9"/>
  <c r="K41" i="9"/>
  <c r="K29" i="9"/>
  <c r="K79" i="9"/>
  <c r="N67" i="9"/>
  <c r="L56" i="9"/>
  <c r="M45" i="9"/>
  <c r="N33" i="9"/>
  <c r="N21" i="9"/>
  <c r="N9" i="9"/>
  <c r="K88" i="9"/>
  <c r="N73" i="9"/>
  <c r="N13" i="9"/>
  <c r="L3" i="9"/>
  <c r="J88" i="9"/>
  <c r="M85" i="9"/>
  <c r="M73" i="9"/>
  <c r="K71" i="9"/>
  <c r="M61" i="9"/>
  <c r="K59" i="9"/>
  <c r="M49" i="9"/>
  <c r="K47" i="9"/>
  <c r="M37" i="9"/>
  <c r="K35" i="9"/>
  <c r="M25" i="9"/>
  <c r="K23" i="9"/>
  <c r="M13" i="9"/>
  <c r="K11" i="9"/>
  <c r="M88" i="9"/>
  <c r="N61" i="9"/>
  <c r="N49" i="9"/>
  <c r="N37" i="9"/>
  <c r="N25" i="9"/>
  <c r="M3" i="9"/>
  <c r="G99" i="1" l="1"/>
  <c r="J142" i="1"/>
  <c r="K142" i="1" s="1"/>
  <c r="L142" i="1" s="1"/>
  <c r="G142" i="1"/>
  <c r="J99" i="1"/>
  <c r="H99" i="1"/>
  <c r="I99" i="1" l="1"/>
  <c r="O100" i="1" s="1"/>
  <c r="K99" i="1"/>
  <c r="E99" i="1" s="1"/>
  <c r="L99" i="1"/>
  <c r="H142" i="1"/>
  <c r="I142" i="1" s="1"/>
  <c r="F99" i="1" l="1"/>
  <c r="I81" i="9"/>
  <c r="H90" i="9"/>
  <c r="J81" i="9" l="1"/>
  <c r="J90" i="9" s="1"/>
  <c r="J91" i="9" s="1"/>
  <c r="K81" i="9"/>
  <c r="K90" i="9" s="1"/>
  <c r="K91" i="9" s="1"/>
  <c r="L81" i="9"/>
  <c r="L90" i="9" s="1"/>
  <c r="N81" i="9"/>
  <c r="M81" i="9"/>
  <c r="M90" i="9" s="1"/>
  <c r="I91" i="9" l="1"/>
  <c r="M91" i="9"/>
  <c r="L91" i="9"/>
  <c r="D38" i="1"/>
  <c r="H49" i="1" l="1"/>
  <c r="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tc={70ADB65E-0990-470E-A8F0-798421CDED5D}</author>
    <author>tc={F8EF3115-CC84-4F0B-B301-2CD5E0EB1E74}</author>
  </authors>
  <commentList>
    <comment ref="B26" authorId="0" shapeId="0" xr:uid="{70ADB65E-0990-470E-A8F0-798421CDED5D}">
      <text>
        <t xml:space="preserve">[Threaded comment]
Your version of Excel allows you to read this threaded comment; however, any edits to it will get removed if the file is opened in a newer version of Excel. Learn more: https://go.microsoft.com/fwlink/?linkid=870924
Comment:
    Discuss in the next quarterly review with the partners and government </t>
      </text>
    </comment>
    <comment ref="B34" authorId="1" shapeId="0" xr:uid="{F8EF3115-CC84-4F0B-B301-2CD5E0EB1E74}">
      <text>
        <t>[Threaded comment]
Your version of Excel allows you to read this threaded comment; however, any edits to it will get removed if the file is opened in a newer version of Excel. Learn more: https://go.microsoft.com/fwlink/?linkid=870924
Comment:
    To be reported bi-annually or annually as is dependent on TPM exercises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tc={44493902-BC7B-457E-91CF-5813C54BE22B}</author>
    <author>tc={4F7C1A83-96AD-4375-836F-908671A636A4}</author>
    <author>tc={8FD349AC-A584-4E89-BBB5-9D64B0418A83}</author>
    <author>tc={D7FE4F7E-2E0D-4AE3-96DC-84B076063E2E}</author>
    <author>tc={A4D4ED8E-CED0-4863-B26B-7D568E54AE0F}</author>
    <author>tc={C595405C-854E-4947-8EBF-E2B9AC28F373}</author>
    <author>tc={9E6A0798-A6EB-4A63-AA44-14B86F58871D}</author>
    <author>tc={90C3863E-7054-4F48-AC9F-4368E474719F}</author>
    <author>tc={04669DE4-5033-4AC0-A8C6-A73545FB83F0}</author>
    <author>tc={2060E8B4-5EE2-4BA6-A9BE-FBFDEA4C4A9A}</author>
    <author>tc={AA9DD40F-7664-4CF9-A7EF-89F754BD286B}</author>
  </authors>
  <commentList>
    <comment ref="D6" authorId="0" shapeId="0" xr:uid="{44493902-BC7B-457E-91CF-5813C54BE22B}">
      <text>
        <t>[Threaded comment]
Your version of Excel allows you to read this threaded comment; however, any edits to it will get removed if the file is opened in a newer version of Excel. Learn more: https://go.microsoft.com/fwlink/?linkid=870924
Comment:
    April 2022 - March 2023</t>
      </text>
    </comment>
    <comment ref="A7" authorId="1" shapeId="0" xr:uid="{4F7C1A83-96AD-4375-836F-908671A636A4}">
      <text>
        <t>[Threaded comment]
Your version of Excel allows you to read this threaded comment; however, any edits to it will get removed if the file is opened in a newer version of Excel. Learn more: https://go.microsoft.com/fwlink/?linkid=870924
Comment:
    Impact not mandated for UNICEF</t>
      </text>
    </comment>
    <comment ref="D7" authorId="2" shapeId="0" xr:uid="{8FD349AC-A584-4E89-BBB5-9D64B0418A83}">
      <text>
        <t>[Threaded comment]
Your version of Excel allows you to read this threaded comment; however, any edits to it will get removed if the file is opened in a newer version of Excel. Learn more: https://go.microsoft.com/fwlink/?linkid=870924
Comment:
    Source: World Bank Group</t>
      </text>
    </comment>
    <comment ref="D12" authorId="3" shapeId="0" xr:uid="{D7FE4F7E-2E0D-4AE3-96DC-84B076063E2E}">
      <text>
        <t>[Threaded comment]
Your version of Excel allows you to read this threaded comment; however, any edits to it will get removed if the file is opened in a newer version of Excel. Learn more: https://go.microsoft.com/fwlink/?linkid=870924
Comment:
    UN Estimate</t>
      </text>
    </comment>
    <comment ref="B34" authorId="4" shapeId="0" xr:uid="{A4D4ED8E-CED0-4863-B26B-7D568E54AE0F}">
      <text>
        <t>[Threaded comment]
Your version of Excel allows you to read this threaded comment; however, any edits to it will get removed if the file is opened in a newer version of Excel. Learn more: https://go.microsoft.com/fwlink/?linkid=870924
Comment:
    Partner to provide the catchment population for facilities during the revision</t>
      </text>
    </comment>
    <comment ref="B49" authorId="5" shapeId="0" xr:uid="{C595405C-854E-4947-8EBF-E2B9AC28F373}">
      <text>
        <t>[Threaded comment]
Your version of Excel allows you to read this threaded comment; however, any edits to it will get removed if the file is opened in a newer version of Excel. Learn more: https://go.microsoft.com/fwlink/?linkid=870924
Comment:
    This indicator will be reported at district level using the district catchment population and the district new OPD visits</t>
      </text>
    </comment>
    <comment ref="B69" authorId="6" shapeId="0" xr:uid="{9E6A0798-A6EB-4A63-AA44-14B86F58871D}">
      <text>
        <t>[Threaded comment]
Your version of Excel allows you to read this threaded comment; however, any edits to it will get removed if the file is opened in a newer version of Excel. Learn more: https://go.microsoft.com/fwlink/?linkid=870924
Comment:
    yearly increase of 3% across the milestones and look at trends</t>
      </text>
    </comment>
    <comment ref="B74" authorId="7" shapeId="0" xr:uid="{90C3863E-7054-4F48-AC9F-4368E474719F}">
      <text>
        <t>[Threaded comment]
Your version of Excel allows you to read this threaded comment; however, any edits to it will get removed if the file is opened in a newer version of Excel. Learn more: https://go.microsoft.com/fwlink/?linkid=870924
Comment:
    same as ANC-1</t>
      </text>
    </comment>
    <comment ref="B79" authorId="8" shapeId="0" xr:uid="{04669DE4-5033-4AC0-A8C6-A73545FB83F0}">
      <text>
        <t>[Threaded comment]
Your version of Excel allows you to read this threaded comment; however, any edits to it will get removed if the file is opened in a newer version of Excel. Learn more: https://go.microsoft.com/fwlink/?linkid=870924
Comment:
    same as ANC-1</t>
      </text>
    </comment>
    <comment ref="B84" authorId="9" shapeId="0" xr:uid="{2060E8B4-5EE2-4BA6-A9BE-FBFDEA4C4A9A}">
      <text>
        <t>[Threaded comment]
Your version of Excel allows you to read this threaded comment; however, any edits to it will get removed if the file is opened in a newer version of Excel. Learn more: https://go.microsoft.com/fwlink/?linkid=870924
Comment:
    Fadumo to provide total number of staff</t>
      </text>
    </comment>
    <comment ref="B144" authorId="10" shapeId="0" xr:uid="{AA9DD40F-7664-4CF9-A7EF-89F754BD286B}">
      <text>
        <t>[Threaded comment]
Your version of Excel allows you to read this threaded comment; however, any edits to it will get removed if the file is opened in a newer version of Excel. Learn more: https://go.microsoft.com/fwlink/?linkid=870924
Comment:
    Requires a survey or a rapid assessment, no data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tc={A601277A-8994-491F-899E-F99BBE177537}</author>
    <author>tc={08AB4D3A-FEB8-4A7F-B2CF-6976FAA1EA62}</author>
  </authors>
  <commentList>
    <comment ref="B26" authorId="0" shapeId="0" xr:uid="{A601277A-8994-491F-899E-F99BBE177537}">
      <text>
        <t xml:space="preserve">[Threaded comment]
Your version of Excel allows you to read this threaded comment; however, any edits to it will get removed if the file is opened in a newer version of Excel. Learn more: https://go.microsoft.com/fwlink/?linkid=870924
Comment:
    Discuss in the next quarterly review with the partners and government </t>
      </text>
    </comment>
    <comment ref="B34" authorId="1" shapeId="0" xr:uid="{08AB4D3A-FEB8-4A7F-B2CF-6976FAA1EA62}">
      <text>
        <t>[Threaded comment]
Your version of Excel allows you to read this threaded comment; however, any edits to it will get removed if the file is opened in a newer version of Excel. Learn more: https://go.microsoft.com/fwlink/?linkid=870924
Comment:
    Not to be reported on quarterly basis as it is dependent on TPM. Suggested to be conducted bi-annual/annual basis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tc={6DC8D7C4-8749-44A4-A226-C7496CB61B64}</author>
    <author>tc={40CD390F-DB5F-49EE-81D8-70DDD27EACF3}</author>
    <author>tc={A3931E92-3361-4198-93C0-4E4AF456A259}</author>
    <author>tc={BC47C6BC-4797-40D3-9C61-76FDADD197AA}</author>
    <author>tc={C1F80516-1C0A-4774-A733-ED304918DCA7}</author>
    <author>tc={DFB2C78E-2540-4520-A8C6-757583631D6C}</author>
  </authors>
  <commentList>
    <comment ref="D11" authorId="0" shapeId="0" xr:uid="{6DC8D7C4-8749-44A4-A226-C7496CB61B64}">
      <text>
        <t>[Threaded comment]
Your version of Excel allows you to read this threaded comment; however, any edits to it will get removed if the file is opened in a newer version of Excel. Learn more: https://go.microsoft.com/fwlink/?linkid=870924
Comment:
    UN Estimate</t>
      </text>
    </comment>
    <comment ref="G69" authorId="1" shapeId="0" xr:uid="{40CD390F-DB5F-49EE-81D8-70DDD27EACF3}">
      <text>
        <t>[Threaded comment]
Your version of Excel allows you to read this threaded comment; however, any edits to it will get removed if the file is opened in a newer version of Excel. Learn more: https://go.microsoft.com/fwlink/?linkid=870924
Comment:
    This was initially reported as ANC1 and it’s the first time we are reporting as ANC 1 under 12 weeks</t>
      </text>
    </comment>
    <comment ref="B131" authorId="2" shapeId="0" xr:uid="{A3931E92-3361-4198-93C0-4E4AF456A259}">
      <text>
        <t>[Threaded comment]
Your version of Excel allows you to read this threaded comment; however, any edits to it will get removed if the file is opened in a newer version of Excel. Learn more: https://go.microsoft.com/fwlink/?linkid=870924
Comment:
    Data sources unavailable, to be removed</t>
      </text>
    </comment>
    <comment ref="F142" authorId="3" shapeId="0" xr:uid="{BC47C6BC-4797-40D3-9C61-76FDADD197AA}">
      <text>
        <t>[Threaded comment]
Your version of Excel allows you to read this threaded comment; however, any edits to it will get removed if the file is opened in a newer version of Excel. Learn more: https://go.microsoft.com/fwlink/?linkid=870924
Comment:
    Cummulative</t>
      </text>
    </comment>
    <comment ref="B147" authorId="4" shapeId="0" xr:uid="{C1F80516-1C0A-4774-A733-ED304918DCA7}">
      <text>
        <t>[Threaded comment]
Your version of Excel allows you to read this threaded comment; however, any edits to it will get removed if the file is opened in a newer version of Excel. Learn more: https://go.microsoft.com/fwlink/?linkid=870924
Comment:
    Requires a survey or a rapid assessment, no data available</t>
      </text>
    </comment>
    <comment ref="E179" authorId="5" shapeId="0" xr:uid="{DFB2C78E-2540-4520-A8C6-757583631D6C}">
      <text>
        <t>[Threaded comment]
Your version of Excel allows you to read this threaded comment; however, any edits to it will get removed if the file is opened in a newer version of Excel. Learn more: https://go.microsoft.com/fwlink/?linkid=870924
Comment:
    Covers half of the BL catchment population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tc={8E59E900-133F-4664-8818-233C81B32BF4}</author>
  </authors>
  <commentList>
    <comment ref="D6" authorId="0" shapeId="0" xr:uid="{8E59E900-133F-4664-8818-233C81B32BF4}">
      <text>
        <t>[Threaded comment]
Your version of Excel allows you to read this threaded comment; however, any edits to it will get removed if the file is opened in a newer version of Excel. Learn more: https://go.microsoft.com/fwlink/?linkid=870924
Comment:
    April 2022 - March 2023</t>
      </text>
    </comment>
  </commentList>
</comments>
</file>

<file path=xl/sharedStrings.xml><?xml version="1.0" encoding="utf-8"?>
<sst xmlns="http://schemas.openxmlformats.org/spreadsheetml/2006/main" count="4501" uniqueCount="810">
  <si>
    <t>Logframe Template Guide</t>
  </si>
  <si>
    <t xml:space="preserve">Teams should use the guide below to complete the logframe template. </t>
  </si>
  <si>
    <t>PROJECT TITLE</t>
  </si>
  <si>
    <t>The name of the programme to which this logframe applies, from the business case</t>
  </si>
  <si>
    <t> </t>
  </si>
  <si>
    <t>IMPACT</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</si>
  <si>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</si>
  <si>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</si>
  <si>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</si>
  <si>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</si>
  <si>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</si>
  <si>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</si>
  <si>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</si>
  <si>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</si>
  <si>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</si>
  <si>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</si>
  <si>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</si>
  <si>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</si>
  <si>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</si>
  <si>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</si>
  <si>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</si>
  <si>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</si>
  <si>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</si>
  <si>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</si>
  <si>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</si>
  <si>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</si>
  <si>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</si>
  <si>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</si>
  <si>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</si>
  <si>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</si>
  <si>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</si>
  <si>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</si>
  <si>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</si>
  <si>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</si>
  <si>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</si>
  <si>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</si>
  <si>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</si>
  <si>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</si>
  <si>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</si>
  <si>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</si>
  <si>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</si>
  <si>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</si>
  <si>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</si>
  <si>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</si>
  <si>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</si>
  <si>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</si>
  <si>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</si>
  <si>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</si>
  <si>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</si>
  <si>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</si>
  <si>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</si>
  <si>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</si>
  <si>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</si>
  <si>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</si>
  <si>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</si>
  <si>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</si>
  <si>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</si>
  <si>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</si>
  <si>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</si>
  <si>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</si>
  <si>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</si>
  <si>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</si>
  <si>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</si>
  <si>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</si>
  <si>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</si>
  <si>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</si>
  <si>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</si>
  <si>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</si>
  <si>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</si>
  <si>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</si>
  <si>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</si>
  <si>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</si>
  <si>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</si>
  <si>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</si>
  <si>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</si>
  <si>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</si>
  <si>
    <t>DRAFT:  Better lives for Somali women &amp; children programme results framework, January 2022</t>
  </si>
  <si>
    <t>Impact/outcome/output statement</t>
  </si>
  <si>
    <t>Likely inputs</t>
  </si>
  <si>
    <t>Illustrative programme outputs</t>
  </si>
  <si>
    <t>What success looks like</t>
  </si>
  <si>
    <t>Potential (impact and outcome level) indicators (which will be tracked to understand incremental progress i.e. in proportions) between April 2022 and March 2028</t>
  </si>
  <si>
    <t>Potential milestones (To be agreed during mobilisation once the contextual parameters are understood &amp; the evidence base for what works is strengthened</t>
  </si>
  <si>
    <r>
      <t>Impact: Improved health and nutrition status for vulnerable Somalis</t>
    </r>
    <r>
      <rPr>
        <b/>
        <sz val="11"/>
        <rFont val="Arial"/>
        <family val="2"/>
      </rPr>
      <t>:</t>
    </r>
  </si>
  <si>
    <t>n/a (see outcomes/outputs)</t>
  </si>
  <si>
    <t xml:space="preserve">1. Reduction in Maternal mortality rate (MMR) (3% improvement MMR  
    from baseline (692/100,000 live births)  
2. Reduction in under five mortality rate
3. Reduction in Severe Acute Malnutrition Rate (SAM)
4. Reduction in unwanted pregnancies
</t>
  </si>
  <si>
    <t xml:space="preserve">• 3% improvement in MMR from baseline (692/100,000 live births)
• Under five mortality rate: 3% decline from the baseline (117/1000 live births)
• 2-4% reduction in SAM from the baseline	
• Modern contraceptive prevalence rate for all women (mCPR AW) 5% increase from the baseline (0.9%)
</t>
  </si>
  <si>
    <t>Milestone 1 - January 2023</t>
  </si>
  <si>
    <t>Milestone 2 - January 2024</t>
  </si>
  <si>
    <t>Milestone 3 - January 2025</t>
  </si>
  <si>
    <t>Milestone 4 - January 2026</t>
  </si>
  <si>
    <t>Milestone 4 - January 2027</t>
  </si>
  <si>
    <t xml:space="preserve">• Household and facility surveys conducted at year 3 of programme (2024).  Implementation supported by FCDO and WB and led by the MoH, to determine impact of healthcare services in supported regions
</t>
  </si>
  <si>
    <t xml:space="preserve">Outcome 1: Improved access to quality essential health services </t>
  </si>
  <si>
    <t>Outcome 1.1: Women and girls effectively use contraception with informed choice</t>
  </si>
  <si>
    <r>
      <t>•</t>
    </r>
    <r>
      <rPr>
        <sz val="11"/>
        <rFont val="Arial"/>
        <family val="2"/>
      </rPr>
      <t xml:space="preserve"> Developed training curricula targeting values clarification and attitudes transformation (VCAT) on use of contraceptives
•</t>
    </r>
    <r>
      <rPr>
        <sz val="11"/>
        <color rgb="FFFF0000"/>
        <rFont val="Arial"/>
        <family val="2"/>
      </rPr>
      <t xml:space="preserve"> </t>
    </r>
    <r>
      <rPr>
        <sz val="11"/>
        <rFont val="Arial"/>
        <family val="2"/>
      </rPr>
      <t>Client exit-interview assessments developed and applied to facility clients
• Behavior change campaigns for healthcare providers (targets staff in reproductive health departments)
• Behavior change campaigns targeting 40% women of child-bearing age in supported regions
• 85% of staff trained on VCAT</t>
    </r>
  </si>
  <si>
    <r>
      <t>• Health care providers engage in discussions to understand how their values and attitudes affect provision of contraceptive services 
• Women and men in the target population receive training on the advantages and side-effects of modern contraceptive methods
• Women and girls receive accurate information about all contraceptive methods, birth spacing, and the benefits of
reproductive health services from the media, the community, health care providers, and other trusted sources
• Health care providers are trained to: help clients manage side effects,
forecast consumption of supplies, improve attitudes about all methods and clients 
•</t>
    </r>
    <r>
      <rPr>
        <sz val="11"/>
        <color rgb="FFFF0000"/>
        <rFont val="Arial"/>
        <family val="2"/>
      </rPr>
      <t xml:space="preserve"> </t>
    </r>
    <r>
      <rPr>
        <sz val="11"/>
        <rFont val="Arial"/>
        <family val="2"/>
      </rPr>
      <t xml:space="preserve">Clients participate in exit interviews about their experience receiving contraception </t>
    </r>
  </si>
  <si>
    <t>Increased use and acceptance of modern contraception</t>
  </si>
  <si>
    <t>20% increase (from baseline) in women of reproductive age who accept and use a modern contraceptive method. (increase to be assessed at each annual review. 20% increase over life of programme)</t>
  </si>
  <si>
    <t xml:space="preserve">• Health surveys are conducted, including client-exit interviews to determine barriers to contraceptives uptake (2022); leverage on ongoing SHDS analysis review funded by FCDO and being underatken by UNFPA. This will mainly highlight barriers to uptake in Puntland and Somaliland but FCDO has requested analysis for Somalia as well. Findings on analysis expected in 2022
• Appropriate behavior change interventions are designed with UNICEF and downstream partners (2022)
• UNICEF engages with UNFPA to define values clarificationn and attitudes transformation training curricula for the staff - carried froward from SHINE programme (2022/2023)
• Contraceptive commodities are procured and distributed at facilities (2022) - FCDO continues to leverage UNFPA Supplies at HQ level through CMP
• Training implementation for healthcare providers including community health workers (2022/2023)
• Ongoing monitoring and supervision to determine progress and uptake of services
• Strategic reflection session to assess evidence of progress (annually through programme lifetime)
</t>
  </si>
  <si>
    <t>Outcome 1.2: All women receive timely and effective emergency obstetric, antenatal, delivery, postpartum, and comprehensive abortion care services</t>
  </si>
  <si>
    <t>• 80% of healthcare workers (facility based and community health workers) trained in reproductive and maternal health best practices
• Funding allocated to healthcare staff salaries, referral services (including contracting of ambulances) and community mobilisation including mobile outreach teams. Precise allocation to be determined through the cost-benefit analysis
• Guidelines on forecasting and quantification of supplies (in line with MoH) are available in facilities</t>
  </si>
  <si>
    <t>• Health providers are trained on best practices in caring for pregnant women, including on post abortion care
• Essential medicines and supplies are available at all facilities without interruption
• Referral networks and procedures are in place with functioning communication and transportation equipment
• Participatory sustainable quality improvement processes are in place
• The community receive awareness training on at least three primary warning/danger signs of obstetric complications
• Community health workers are trained to identify and refer complications during pregnancy
• Men and women are exposed to relevant, effective interventions which target ante-natal care-seeking behaviours
• Community management committees provide a regular forum for feedback from the communities</t>
  </si>
  <si>
    <t>• Increase in the number of women who deliver with the help of a skilled birth attendant at a health facility
• Increase in number of women attended, at least once during their pregnancy, by skilled health personnel for reasons relating to the pregnancy
• Increase in the number of women attended, at least 4 times during their pregnancy, by skilled health personnel for reasons relating to pregnancy .</t>
  </si>
  <si>
    <t>• 30% increase from the baseline (in the number of women who deliver with the help of a skilled birth attendant at a health facility) - by 2027
• 15% increase from the baseline (in number of women attended, at least once during their pregnancy, by skilled health personnel for reasons relating to the pregnancy) - by 2025 
• 10% increase from baseline (in the number of women attended, at least 4 times during their pregnancy, by skilled health personnel for reasons relating to pregnancy) - by 2027</t>
  </si>
  <si>
    <t>Milestone 1</t>
  </si>
  <si>
    <t>Milestone 2</t>
  </si>
  <si>
    <r>
      <t xml:space="preserve">• UNICEF improves the training curricula targeted at identifcation and better management of obstetric complications at community and facility level (targeting the three delays of receiving optimal obstetric care). Done in collaboration with UNFPA (2022)
• Downstream partners are trained on proper forecasting and quantification of reproductive health pharmaceutical commodities and supplies (2022)
• UNICEF establishes contracts with ambulances in each supported location to facilitate optimal referrals. 
• Community health committees/boards are empowered (awareness discussions/training) to assess critical complications and have ability to inform care providers of need and support prompt referral (2022)
• Healthcare workers including community health workers are trained on identification and referral of obstetrict complications (2022/2023) - National Guidelines used (2022/2023)
• Peer support groups that include men are formed to improve and facilitate issuing of consent for women and caretakers to attend services
• Communities select their health care workers (2022)
</t>
    </r>
    <r>
      <rPr>
        <b/>
        <i/>
        <sz val="11"/>
        <rFont val="Arial"/>
        <family val="2"/>
      </rPr>
      <t xml:space="preserve">NB: All indicators to be reviewed at each annual review and adjusted dependent on milestones achieved against logframe targets. </t>
    </r>
  </si>
  <si>
    <t>Outcome 1.3: Children have a reduced exposure and susceptibility to communicable diseases</t>
  </si>
  <si>
    <t>• 80% of healthcare workers (facility based and community health workers) trained on integrated management of childhood illnesses; on new-born care
• Funding allocated to healthcare staff salaries, referral services (including contracting of ambulances) and community mobile outreach activities</t>
  </si>
  <si>
    <t xml:space="preserve">• Health Workers (CHW and HF) are trained and retrained on how to assess, treat, refer, and follow-up on sick children in their communities and counsel caregivers on care and prevention counseling for sick children
• Health Facilities are supplied with drugs and equipment for prevention services (i.e. vaccines, supplements, deworming)
• Health Workers (CHW and HF) are trained in infection prevention and control protocols
• Health Workers (CHW and HF) are regularly supervised and coached on best practices
• Infants receive vaccinations at appropriate times
• Health Workers (CHW and HF) trace children who defaulted on their vaccination schedules
• Communities are sensitized on prevention of common childhood illnesses (i.e. hand washing, immunizations)
</t>
  </si>
  <si>
    <t>• Increase in number of children under the age of 1 year who are vaccinated with pentavalent 3 vaccine (25% increase from the baseline)</t>
  </si>
  <si>
    <t xml:space="preserve">
• Percentage of children under one year of age who received  Pentavalent 3 (increase of 25% over life of the programme - by end 2027)</t>
  </si>
  <si>
    <r>
      <t xml:space="preserve">• Distribution of contextually appropriate tools for the health facilities - Integrated Management of Childhood Illnesses, Information Education and Communication materials - and placing these in health facilities (2022)
• Assessements to gauge understanding of the tools by staff to inform training/refresher training - (2022)
• Equiping facilities with consistent and sufficient prevention and control supplies - beginning 2022 and will be ongoing
• Facility assessments to determine degree to which ther are compliant with climate resilient/compliant infrastructure - (2022)
• Facilities are retrofitted to ensure climate resilience and equiped with sustainable energy solutions - solar panels, solar fridges, generators
• Joint supportive supervision with the MoH and incorporation of feedback to inform ongoing programming (2022)
</t>
    </r>
    <r>
      <rPr>
        <b/>
        <i/>
        <sz val="11"/>
        <rFont val="Arial"/>
        <family val="2"/>
      </rPr>
      <t xml:space="preserve">NB: This indicator assumes an integrated management/approach to management of childhood diseases. It is a proxy indicator to measurement of overall vaccine coverage amongst children below 5 years of age. </t>
    </r>
    <r>
      <rPr>
        <sz val="11"/>
        <rFont val="Arial"/>
        <family val="2"/>
      </rPr>
      <t xml:space="preserve">
</t>
    </r>
  </si>
  <si>
    <t>Outcome 1.4: Children receive timely and effective treatment for acute malnutrition</t>
  </si>
  <si>
    <t>• Teams are trained on supporting counselling for women with children
• Nutrition staff receiving incentives (salaries) determined through harmonised job description and salary standardisation work
• Nutrition supplies and commodities available in all health centres and hospitals (relevant levels of service delivery) supported
• All determined from the cost benefit analysis</t>
  </si>
  <si>
    <t xml:space="preserve">• Providers are trained on WHO breastfeeding counselling course and IYCF-E operational guidelines
• Women supported with counselling and management of feeding difficulties through buddy systems, peer-to-peer support groups and home-visits within 1 week after delivery and up to 3-4 more times
• Nutrition providers are trained on early childhood development and perinatal depression support to include as part of IYCF support
• Services are equipped with micronutrients for prevention services (Vit A, sprinkles, etc) and lipid-based supplements for emergencies (RUTF, etc)
• Health workers are supplied with drugs, diagnostics, and equipment for managing all acutely malnourished children and pregnant/lactating women
• Community Health Workers are trained, coached and supervised on how to
assess, treat, refer, and follow-up on malnourished children in their communities
and counsel caregivers on care at home for malnourished children </t>
  </si>
  <si>
    <t>• More children who have recently been in admitted in health facilities recover  in outpatient therapeutic programmes and in stabilisation centres</t>
  </si>
  <si>
    <r>
      <t>• Proportion of discharged children who recovered in outpatient therapeutic programmes and in stabilisation centres (</t>
    </r>
    <r>
      <rPr>
        <i/>
        <sz val="11"/>
        <rFont val="Arial"/>
        <family val="2"/>
      </rPr>
      <t>baseline to be determined at the programme inception phase in April-May 2022</t>
    </r>
    <r>
      <rPr>
        <sz val="11"/>
        <rFont val="Arial"/>
        <family val="2"/>
      </rPr>
      <t xml:space="preserve">)
</t>
    </r>
  </si>
  <si>
    <t>• IYCF (infant and young child feeding) barrier assessments or qualitative research used to develop effective BCC campaigns (2023)
• Simple Rapid Assessment and referral is in place for all women to identify early infant feeding problems (2022)
• Links with the FCDO HUmanitarian programme are made to, among others, facilitate Mothers with young children have access ot cash transfers, food vouchers or food distribution (2022)
• Technical staff are trained to lead and analyze nutrition surveys and assessments of access and coverage and client feedback (2023)
• Development of actions plans to address program barriers and monitored for progress 2023/2024
• Women peer-to-peer support groups established (2022)</t>
  </si>
  <si>
    <t>Outcome 1.5: Increased uptake of health and nutrition services</t>
  </si>
  <si>
    <t>• Training of healthcare providers to facilitate awareness at facility level
• Training of 40% of women of reproductive age and child caretakers on positive health seeking behavior and referrals to health facilities
• Support access to services - mobile teams at community level and funding for outreach teams via community health workes</t>
  </si>
  <si>
    <t xml:space="preserve">• Number of outpatient department (OPD) visits per person per year
(disaggregated by girls and boys &lt;5; and boys and men &gt;5years  
 • Number of referrals from the community level to the health facilities 
	</t>
  </si>
  <si>
    <t xml:space="preserve">• Increased health facility utilisation disaggregated by gender and age (girls, women, men, and boys) across supported districts 
• Increased target community (adults including caretakers)  that know the danger signs of identified illnesses and seek timely care </t>
  </si>
  <si>
    <t>• Health facility utilisation rate (5% increase from baseline of 1.22 - SHINE programme - by 2027 but also making adjustment to reflect implementation in humanitarian context)
• Percentage of the community that know at least three primary warning/danger signs of obstetric complications; severe childhood illnesses including acute malnutrition. (at least 80% of community) by end 2027</t>
  </si>
  <si>
    <t>• Knowledge, Attitudes and Behavior (KAP) survey to determine level of understanding and community perspectives on overall illesses and priority danger signs (2022)
• Community perceptions on availability of services, access, affordability and other barriers to care determined (2022 - will pick up from the SHINE end-line evaluation as a baseline to be finalised by March 2022)
• Ongoing integration of quality of care, C19 response into service provision (2022 and ongoing) - by UNICEF and downstream partners</t>
  </si>
  <si>
    <t>Outcome 1.6: Quality care is integrated in ongoing health and nutrition service delivery of the basic package of essential services</t>
  </si>
  <si>
    <t>• Developing standard treatment guidelines and 100% of facilities that have them
• Funding allocation for transport and logistics costs to facilitate supervision visits and TPM
• Office operational/running costs for District and Regional Health Management teams</t>
  </si>
  <si>
    <t>• Number of healthcare workers at facility and community level (community health workers) trained on disease prevention protocols, best practices to enhance uptake of care and supporting the community towards positive health seeking behavior 
• Number of monitoring and supervision activities conducted annually
• Number of joint supportive supervision visits conducted with the MoH (district health management teams and regional health management teams) at supported facilities annually
• Number of findings and recommendations emanating from the joint supportive supervision visits actioned
• Number of third-party monitoring (TPM) exercises conducted by the FCDO identified M&amp;E supplier in collaboration with UNICEF and downstream partners</t>
  </si>
  <si>
    <t xml:space="preserve">• Improved knowledge and skills of healthcare providers across diseases spectrum
</t>
  </si>
  <si>
    <r>
      <t>• Percentage of selected health facilities with improved quality criteria relating to key health systems building blocks: 20% increase from the baseline (65%) - (</t>
    </r>
    <r>
      <rPr>
        <i/>
        <sz val="11"/>
        <rFont val="Arial"/>
        <family val="2"/>
      </rPr>
      <t>baseline derived from SHINE programme - by end 2027</t>
    </r>
    <r>
      <rPr>
        <sz val="11"/>
        <rFont val="Arial"/>
        <family val="2"/>
      </rPr>
      <t>)
• Percentage of follow up recommendations from integrated supportive supervision visits with the Ministries of Health actioned and TPM findings – disaggregated by health facility: 10% increase from the baseline (85%) - by end 2023
• Percentage of findings and recommendations from TPM exercises actioned - At least 85% of recommendations actioned - by end 2023</t>
    </r>
  </si>
  <si>
    <t xml:space="preserve">• Health and nutrition management protocols per national standards updated and distributed across all supported facilities (2022/2023)
• Healthcare providers identified (Training Needs Assessments conducted in 2022); and trained across all service delivery areas as indicated above (begin in 2022 and envisioned to end by mid-2023)
• Focal points within MoH to conducted supportive supervision identified jointly by MoH and UNICEF (2022)
• Schedule for monitoring and supervision visits defined and structure shared with relevant MoH departments and downstream partners (2022)
• Platform to record recommendations from supportive supervision visits identified (2022 - work on SHINE on the Health and Nutrition Quality Improvement Survey/Rapid Data Quality Assessment - finalised and used (mid-2022)) 
• Action Based Learnings schedule identified with the M&amp;E supplier to ensure dissemination of findings from TPM activities and their uptake (2022)
</t>
  </si>
  <si>
    <t>Outcome 1.7: Health services are resilient to adverse effects of climate change</t>
  </si>
  <si>
    <t>• Funding allocation to facility rehabilitation, procurement of equipment/solar fridges
• Training of MoH and facility staff on climate protocols and strategy
• Funding allocations for climate change assessments and logistics (travel to various facilities); per diem; travel costs</t>
  </si>
  <si>
    <t xml:space="preserve">• Number of people supported to better respond to the effects of climate change 
• Number of people with improved (climate) resilience
• Number of health facilities rehabilitated (infrastucture strengthening/retrofitting) to support resilience
• Number of health faciities identified as needing to be supported to strengthen resilience
</t>
  </si>
  <si>
    <t xml:space="preserve">• Increase in access to climate resilient health services in implementation areas .
</t>
  </si>
  <si>
    <t xml:space="preserve">• Proportion of target community members that have increased knowledge and are able to respond to the effects of climate change (baseline to be determined at baseline evaluation survey) - targets and achievements to be defined annually - given new implementation
• % of facilities that have improved climate resilient infrastructure in place (basline to be determined at baseline evaluation seurvey)
</t>
  </si>
  <si>
    <t>• Climate change assessments in supported areas in Somalia defined and instituted (definition of these at programme inception phase in Apr-Jun 2022)
• Strategy defined (from findings of Climate assessments) to inform process of ensuring services capture and are integrated into climtae change and resilient activities (by end 2022)
• Alignment of programme activities with those of the FCDO Humanitarian programme and building resilient communities (2022 and ongoing - 2023)
• Available climate mainstreaming facilities identified (2022)
• Expert skills and knowledge at HQ level used to align proposed activities to the National Determined Contribution (NDP) and determined how to align this with and engage with the MoH (2023)
• Work with WB and the Health authorities towards defining influencing policy to ensure awareness at Ministerial level and alignmen with international guidance/direction of climate change (2023)</t>
  </si>
  <si>
    <t>Outcome 2: Strengthened Government Stewardship and ownership</t>
  </si>
  <si>
    <t>Outcome 2.1: Supply chain management across all facilities is effective</t>
  </si>
  <si>
    <t>• Training of healthcare providers (40% of staff trained and have the requisite understanding)
• Funding allocated to ongoing monitoring and supervision; travel costs</t>
  </si>
  <si>
    <t xml:space="preserve">• Number of heathcare providers - pharmacy and warehouse staff trained on effective forecasting, quantification and procurement of healh and nutrition supplies
• Number of stock outs of key tracer commodities at healthcare facilities quarterly 
• Number of joint supportive supervision visits (with MoH) conducted in supported areas to determine adequate stiock levels and staff level of knowledge and skills in supply chain management
</t>
  </si>
  <si>
    <t>• Improved forecasting, quantification and forecasting of health and nutrition commodities 
• Decreased stock outs of health and nutrition supplies and commodities at facility warehouses</t>
  </si>
  <si>
    <r>
      <t>• Percentage of health facility staff in supported districts trained and with enhanced capacity and capability in logistics management information, stock management and supplies forecasting and quantification procedures (4</t>
    </r>
    <r>
      <rPr>
        <i/>
        <sz val="11"/>
        <rFont val="Arial"/>
        <family val="2"/>
      </rPr>
      <t>0% of staff trained and with enhanced capacity. Currently, all pharmacy and warehouse staff in supported facilities have been trained but enhanced capacity is deemed low and will need to be strengthened and assessed against agreed criteria</t>
    </r>
    <r>
      <rPr>
        <sz val="11"/>
        <rFont val="Arial"/>
        <family val="2"/>
      </rPr>
      <t>)
• % of facilities submitting supply chain data through the LMIS in line with established quality and frequency standards - baseline to be defied with UNICEF and the GFF taskforce team</t>
    </r>
  </si>
  <si>
    <t xml:space="preserve">• Commodity Security technical working groups (TWGs) defined at State level (2022)
• Commodity security programmes national strategy developed with GFATM, Gavi, FCDO and WB led by the MoH - this will also have training curricula defined (by Jan 2023)
• Key milestones and targets incorporated in the GFF Investment Case Results Framework, implementation plan and costed (2021/2022)- these include updating of the Supply Cain strategy master plan (by mid-2022); Development of the National Harmonised Logistics Management Information System (LMIS) - by mid-2023; roll out of the LMIS - from 2023 and beyond
• Schedule to determine joint supoortive supervision visits defined with the MoH (2022)
• improvement and scale up of the electronic management information system (2022) </t>
  </si>
  <si>
    <t>Outcome 2.2: Health workforce across programme implementation areas is strengthened and motivated</t>
  </si>
  <si>
    <t>• Distribution of standardised job descriptions
• Funding allocated towards meeting support to harmonised salary scales for facility and community based staff
• FCDO staff field travel costs to meet with MoH</t>
  </si>
  <si>
    <t>• Number of standardised job descriptions harmonised and disseminated by the MoH
• Number of salary scales across health and nutrition cadre harmonised</t>
  </si>
  <si>
    <t>• Motivated health care workers that present minimal attrition to workforce at facility level
• Improved salary scales across all healthcare cadres that present and contribute to improved vfm to overall programme objectives</t>
  </si>
  <si>
    <r>
      <t>• Proportion of health providers at supported facilities and in the community that have standardised job descriptions and harmonised salary scales approved by the Ministry of Health (</t>
    </r>
    <r>
      <rPr>
        <i/>
        <sz val="11"/>
        <rFont val="Arial"/>
        <family val="2"/>
      </rPr>
      <t>A target of at least 80% standardised and harmonised job descriptions and salary scales is recommended over the life of the programme - by end 2023</t>
    </r>
    <r>
      <rPr>
        <sz val="11"/>
        <rFont val="Arial"/>
        <family val="2"/>
      </rPr>
      <t>)
• Percentage of health facilities with minimum required staff (disaggregated by rural and urban) - baseline to be determined within the GFF Taskforce committee by mid-2022
• Percentage of health facilities with no stock out of essential medicines (from the tracer list) in the last one month (availability of tracer medicines from the Government’s approved essential medicines list) - from SHINE programme baseline will be set as 85% of facilities with no stock outs of tracer items - by April 2022</t>
    </r>
  </si>
  <si>
    <t>• Discussion of the harmonised job descriptions and harmonised salary scales with the MOH WB and other key Somalia financiers at the Investment taskforce committee (early 2022)
• Integration of the above in the Investment Case implementation plan and results framework to facilitate costing (2022)
• Implementation of the above as part of approved policy across supported regions (mid-2022 - 2024)
• Involvement within the Human Resource for Health working Group - 2022
• Align ongoing Human Resources for Health work support with the MoH staff training plans per HRH strategy - 2022</t>
  </si>
  <si>
    <t>Outcome 2.3: Use of health and nutrition data to inform service uptake and implementation of quality care is strengthened</t>
  </si>
  <si>
    <r>
      <t xml:space="preserve">• </t>
    </r>
    <r>
      <rPr>
        <sz val="11"/>
        <rFont val="Arial"/>
        <family val="2"/>
      </rPr>
      <t>Training to at least 70% of facility based staff</t>
    </r>
    <r>
      <rPr>
        <b/>
        <sz val="11"/>
        <rFont val="Arial"/>
        <family val="2"/>
      </rPr>
      <t xml:space="preserve">
• </t>
    </r>
    <r>
      <rPr>
        <sz val="11"/>
        <rFont val="Arial"/>
        <family val="2"/>
      </rPr>
      <t>Targeted training to Ministry of Health Staff (through the programme TA facility) - target number of staff determined at programme inception phase</t>
    </r>
  </si>
  <si>
    <t>• Number of health facilities submitting complete and accurate data
• Number of healthcare workers trained on data entry, interpretation, use and presentation to improve overall service quality
• Number of DHMT and RHMT health information officers trained on proper data use at regional and national level</t>
  </si>
  <si>
    <t>• Increased understanding of how good data impacts programe delivery and use of data to strengthen service delivery and enhance quality of care</t>
  </si>
  <si>
    <r>
      <t>• Percentage of health facilities that submit timely and complete HMIS reports by the 15th of the following month as measured against the DHIS II (</t>
    </r>
    <r>
      <rPr>
        <i/>
        <sz val="11"/>
        <rFont val="Arial"/>
        <family val="2"/>
      </rPr>
      <t>current completeness of data reporting across supported SHINE facilities is 65%. Using this as a baseline, 75% target is recommended over the life of the programme (by end 2027) giving allowance to staff training and ensuring their understanding and proper use of data</t>
    </r>
    <r>
      <rPr>
        <sz val="11"/>
        <rFont val="Arial"/>
        <family val="2"/>
      </rPr>
      <t>)
• Essential health service delivery monitored on a regular basis, with quarterly review of results/progress to inform efforts to strengthen data use and overall delivery (beginning 2022)</t>
    </r>
  </si>
  <si>
    <t>• Strengthening of the National District Health Information System (DHIS II) platform through UNICEF, including use of stronger indicators determined through the indicator review process (2022)
• Move towards electronic data collection - leverage activities by GFATM and WB to assist national and sub-national staff to conduct regular data audits (2022)
• Purchase of facility-based tablets to support electronic data collection (2022)
• Research studies and facility assessments as well as ongoing monitoring and supervision to strengthen data use (2023) - collaboration between WB, GFATM, FCDO M&amp;E personnel to support change</t>
  </si>
  <si>
    <t>Outcome 2.4: Strengthened Health Financing and Financial Management that is able to support service delivery at national and state level</t>
  </si>
  <si>
    <t>• Advocacy support to MoH - includes travel costs to field; per diems</t>
  </si>
  <si>
    <t>• Number of resource mobilisation technical resources, e.g., standard operating procedures, developed with project support to strengthen health resource allocation. (target to be set with the WB team to ensure alignment with their project)</t>
  </si>
  <si>
    <t xml:space="preserve">Increased domestic resource mobilisation to the health sector
</t>
  </si>
  <si>
    <t>• Proportion of domestic and external resources allocated for services delivery that are aligned with the EPHS (indicator aligned to the GFF-led Investment Case Results Framework. Definition of targets with the MoH is ongoing and will be included in FCDO logframe by early 2022).
• Percentage of contracted service providers paid on time (within 45 days of receipt of reports and invoices) - through Government systems (in 2024 as determined by the WB milestones)</t>
  </si>
  <si>
    <t>• Annual Resource Mapping Expenditure Tracking Conducted and Report Published
• Government financial systems are in place through WB support - by end 2024 and continously reviewed through the FCDO Annual Reviews in line with the GFF Investment Case Annual Reviews
• Risk assessment conducted by FCDO to determine strength of the channeling funds through the Government systems. This will include commissioning a pilot project to test these - 2024
• Finalisation of the Health Sector Strategic Plans III (by June 2022);  Resource mapping and expenditure tracking (June 2022); finalisation of the World Bank set up process and setting up and testing of the Government systems (January 2023) - reviewed annually</t>
  </si>
  <si>
    <t>Outcome 2.5: Strengthened collaboration between Investment Case taskforce committee for better policy outcomes</t>
  </si>
  <si>
    <t>• Travel costs to Investment Case taskforce committee meetings and related office running costs; per diems</t>
  </si>
  <si>
    <t>• Number of GFF and EPHS meetings attended by FCDO and partners at district and regional level with action points built into programme implementation. (target to be defined with the Investment Case taskforce team following finalisation of their results framework and the implementation plan)</t>
  </si>
  <si>
    <t>• Strengthened FCDO's ability to influence key policy reform priorities - 2022 and ongoing
• Improved alignement of the FCDO programme priorities to key national reform priorities for programme sustainability - ongoing and scaled up in 2022</t>
  </si>
  <si>
    <t>• Number of priorities influenced by FCDO as aligned to the Investment Case implementation plan</t>
  </si>
  <si>
    <t>• The implementation plan and results framework have priorities aligned to the ending preventable deaths agenda (2022)
• Outcome of SHINE programme are discussed at taskforce committee and integrated into national planning (online monitoring and supervision; SHINE demand creation project) 2022/2023</t>
  </si>
  <si>
    <t>Group</t>
  </si>
  <si>
    <t>Indicator Name</t>
  </si>
  <si>
    <t>Description</t>
  </si>
  <si>
    <t>Numerator</t>
  </si>
  <si>
    <t>Denominator</t>
  </si>
  <si>
    <t>Indicator Calculations</t>
  </si>
  <si>
    <t>Data Source</t>
  </si>
  <si>
    <t>Agreed upon</t>
  </si>
  <si>
    <t>Impact: Improved health and nutrition status for vulnerable Somalis</t>
  </si>
  <si>
    <t>Maternal &amp; Neonatal Mortality</t>
  </si>
  <si>
    <t>Maternal mortality ratio</t>
  </si>
  <si>
    <t>Proportion of women who died of pregnancy related events per 100,000 live births in facility</t>
  </si>
  <si>
    <t>Maternal death in facility</t>
  </si>
  <si>
    <t>Live Birth in facility</t>
  </si>
  <si>
    <t>Number of maternal deaths in health facilities/Number of live births in health facilities​×100</t>
  </si>
  <si>
    <t>DHIS2/HMIS</t>
  </si>
  <si>
    <t>Child Mortality</t>
  </si>
  <si>
    <t>Under five mortality rate</t>
  </si>
  <si>
    <t>Proportion of children (0-59 months) who died per 1,000 population 0-59 months</t>
  </si>
  <si>
    <t>Child death in facility</t>
  </si>
  <si>
    <t>Population 0-59 months</t>
  </si>
  <si>
    <t>Number of deaths of children (0-59 months) in the facility/Number of child admissions (0-59 months) in the facility</t>
  </si>
  <si>
    <t>Nutrition - SAM</t>
  </si>
  <si>
    <t>Severe Acute Malnutrition Rate</t>
  </si>
  <si>
    <t>Proportion of discharged children who recovered from SAM treatment in OTP/SC</t>
  </si>
  <si>
    <t>Total # of children aged 6
59 months with SAM admitted into treatment
who are discharged as recovered</t>
  </si>
  <si>
    <t>Total # of children aged 6
59 months discharged</t>
  </si>
  <si>
    <t>Total # of children aged 6
59 months with SAM admitted into treatment
who are discharged as recovered/Total # of children aged 6
59 months dischargedx100</t>
  </si>
  <si>
    <t>ONA/DHIS2</t>
  </si>
  <si>
    <t>Outcome A: Improved access to, and use of, quality essential health and nutrition services</t>
  </si>
  <si>
    <t>Maternal Health - FP</t>
  </si>
  <si>
    <t>% of women in catchment areas supported by Better Lives using modern contraception.</t>
  </si>
  <si>
    <t>Proportion of women aged 15-49 years using modern contraception (new ) in better live catchment area</t>
  </si>
  <si>
    <t>Number of women aged 15-49 years using modern contraception method in Better live catchment area.</t>
  </si>
  <si>
    <t>Estimated Population 15-49 years female (WCBA) in Better live catchment area.</t>
  </si>
  <si>
    <t>Number of women aged 15-49 years using modern contraception method in Better live catchment area./Estimated Population 15-49 years female (WCBA) in Better live catchment area.)×100</t>
  </si>
  <si>
    <t>Agreed</t>
  </si>
  <si>
    <t>Maternal Health - ANC</t>
  </si>
  <si>
    <r>
      <t>Proportion of antenatal clients seen for the 4</t>
    </r>
    <r>
      <rPr>
        <vertAlign val="superscript"/>
        <sz val="9"/>
        <rFont val="Verdana"/>
        <family val="2"/>
      </rPr>
      <t>th</t>
    </r>
    <r>
      <rPr>
        <sz val="9"/>
        <rFont val="Verdana"/>
        <family val="2"/>
      </rPr>
      <t xml:space="preserve"> visit by skilled personnel, of estimated pregnant population in catchment areas of Better Lives supported facilities/Antenatal Client 4th visit coverage</t>
    </r>
  </si>
  <si>
    <t>Proportion of antenatal clients seen for 4th visit of estimated pregnant population in catchment areas of Better Lives supported facilities/The indicator measures the percentage of women aged 15 to 49 with a live birth who received antenatal care at least four times during pregnancy</t>
  </si>
  <si>
    <t>Antenatal Client 4th visit</t>
  </si>
  <si>
    <t>Estimated Population of Pregnant women in catchment areas of Better Lives supported facilities</t>
  </si>
  <si>
    <t>Antenatal Client 4th visit/Estimated Population of Pregnant women in catchment areas of Better Lives supported facilities</t>
  </si>
  <si>
    <t>Maternal Health - Delivery</t>
  </si>
  <si>
    <t>Skilled attendance at birth - % of deliveries in Better Lives supported areas attended by skilled health personnel./Skilled birth attendant delivery rate</t>
  </si>
  <si>
    <t>Proportion of deliveries carried out by skilled birth attendants in facilities in Better Lives supported areas</t>
  </si>
  <si>
    <t>Actual Deliveries by skilled birth attendant at health facility in Better Lives supported areas</t>
  </si>
  <si>
    <t>Number of expected Deliveries in facility (sum) in Better Lives supported areas</t>
  </si>
  <si>
    <t>Actual Deliveries by skilled birth attendant at health facility in Better Lives supported areas/ Number of expected Deliveries (Sum) in Better Lives supported areas)×100</t>
  </si>
  <si>
    <t>Immunisation - coverage:</t>
  </si>
  <si>
    <t>proportion of children in catchment areas of Better Lives supported facilities vaccinated with the third dose of pentavalent vaccine/Pentavalent 3rd dose coverage (0 - 11 m)</t>
  </si>
  <si>
    <t>Proportion of infants (0-11 m) who received Pentavalent vaccine 3rd dose in catchment areas of Better Lives supported facilities</t>
  </si>
  <si>
    <t>Pentavalent 3rd doses (0-11 m) in catchment areas of Better Lives supported facilities</t>
  </si>
  <si>
    <t>Estimated Population of 0-11 months children in catchment areas of Better Lives supported facilities</t>
  </si>
  <si>
    <t>Pentavalent 3rd doses (0-11 m) in catchment areas of Better Lives supported facilities/Estimated Population of 0-11 months children in catchment areas of Better Lives supported facilities×100%</t>
  </si>
  <si>
    <t>Severe acute malnutrition – proportion of discharged children who recovered from SAM treatment in OTP/SC</t>
  </si>
  <si>
    <t xml:space="preserve">Hospital / HC
- Outpatient
</t>
  </si>
  <si>
    <t xml:space="preserve">Utilisation and access – proportion of population in the catchment areas of Better Lives supported facilities using OPD services/Outpatient Utilisation rate - all </t>
  </si>
  <si>
    <t>Rate at which the population uses Outpatient services in the catchment areas of Better Lives supported facilities</t>
  </si>
  <si>
    <t>The number of all Outpatient visits -  in the catchment areas of Better Lives supported facilities</t>
  </si>
  <si>
    <t>Estimated Population in the catchment areas of Better Lives supported facilities</t>
  </si>
  <si>
    <t>The number of Outpatient visits -  in the catchment areas of Better Lives supported facilities/Estimated Population in the catchment areas of Better Lives supported facilities*100</t>
  </si>
  <si>
    <t>Outcome B: Improve climate resilience of health system</t>
  </si>
  <si>
    <t>Number of people with improved climate resilience [ICF4]/Number of facilities with improved climate resilience</t>
  </si>
  <si>
    <t>Number of people in Better Live catchment areas supported with climate resilience activities</t>
  </si>
  <si>
    <t>N/A</t>
  </si>
  <si>
    <t xml:space="preserve">This will be based on the number of facilities provided with support like Solar energey, water, sanitation and hygiene </t>
  </si>
  <si>
    <t>Program reports/Supervison visits reports or assessment reports</t>
  </si>
  <si>
    <t>Output 1: Health facilities deliver quality reproductive maternal healthcare and nutrition services, including family planning, to women of childbearing age</t>
  </si>
  <si>
    <t>Number of Better Lives supported health facilities providing contraceptive services</t>
  </si>
  <si>
    <t>Number of antenatal clients seen for the 1st visit before 12 weeks of pregnancy/"Antenatal Client 1st visit
- before 12 weeks"</t>
  </si>
  <si>
    <t>Antenatal care visits seen in the first trimester</t>
  </si>
  <si>
    <t xml:space="preserve">Number of deliveries assisted by skilled birth attendants at Better Lives supported health facilities/Delivery by Skilled birth attendant </t>
  </si>
  <si>
    <t xml:space="preserve">Number  of deliveries carried out by skilled birth attendants in facility in the catchment areas of Better Lives </t>
  </si>
  <si>
    <t>Maternal Health - Postpartum</t>
  </si>
  <si>
    <t>Number of women who received post-natal care (PNC) within 48 hours of childbirth.</t>
  </si>
  <si>
    <t>Number of postnatal mothers who received a checkup within 48 hours of delivery</t>
  </si>
  <si>
    <t>Postnatal 1st Visit new mother (0-48 hrs)</t>
  </si>
  <si>
    <t xml:space="preserve">HRH
</t>
  </si>
  <si>
    <t>Number of facility-based staff and community health care workers that are trained in Maternal and Newborn Care in the targeted Better Lives health facilities.</t>
  </si>
  <si>
    <t>community health workers trained in the Better Lives areas and supporting facilities</t>
  </si>
  <si>
    <t>Output 2: Health facilities deliver quality essential package of services to children under 5</t>
  </si>
  <si>
    <t>Immunisation - DOR</t>
  </si>
  <si>
    <t>Dropout rate between infants receiving the 1st dose (penta 1) of pentavalent vaccine and the 3rd dose (penta 3)/Dropout rate Pentavalant 1st dose to Pentavalent 3rd dose</t>
  </si>
  <si>
    <t>Proportion of infants who received Pentavalent 1st dose but not Pentavalent 3rd dose</t>
  </si>
  <si>
    <t>Pentavalent 1st doses (0 - 11 m) minus Pentavalent 3rd doses (0 - 11 m)</t>
  </si>
  <si>
    <t>Penta 1st doses (0 - 11 m)</t>
  </si>
  <si>
    <t>Pentavalent 1st doses (0 - 11 m) minus Pentavalent 3rd doses (0 - 11 m)/Penta 1st doses (0 - 11 m)*100</t>
  </si>
  <si>
    <t>Number of children disaggregated by gender, aged 6-59, months with severe acute malnutrition who receive treatment.</t>
  </si>
  <si>
    <t xml:space="preserve">  # of male and female children ( 6-59 months)  with severe acute malnutrition  who receive treatment</t>
  </si>
  <si>
    <t>Child Health - IMCI</t>
  </si>
  <si>
    <t>Number of children (0-59 months) with diarrhoea treated with oral rehydration solution (ORS) and Zinc sulphate, disaggregated by age and gender/Number of Diarrhoea treatment of (0-59 Children) with ORS + Zinc</t>
  </si>
  <si>
    <t xml:space="preserve">Child with diarrhoea (0-59 months) treated with ORS + Zinc  in the catchment areas of Better Lives supported facilities </t>
  </si>
  <si>
    <t xml:space="preserve">Number of children 0-59 months with Pneumonia treated with Amoxicillin </t>
  </si>
  <si>
    <t>Number of children (0-59 m) with pneumonia treated with Amoxicillin</t>
  </si>
  <si>
    <t>Output 3: Health facilities deliver quality curative services</t>
  </si>
  <si>
    <t>Number of people using OPD services at Better Lives supported health facilities (disaggregated by age and gender)</t>
  </si>
  <si>
    <t>The number of Outpatient visits -  in the catchment areas of Better Lives supported facilities</t>
  </si>
  <si>
    <t>Essential Medicines (for all items listed under Essential Medicines)</t>
  </si>
  <si>
    <t xml:space="preserve">Proportion of facilities that report essential tracer medicine stockouts/Proportion of health facilities with at least 80% availability of selected tracer medicines and medical supplies </t>
  </si>
  <si>
    <t xml:space="preserve">All eligible facilities that are stocking pharmaceutical supplies and can measure tracer items. </t>
  </si>
  <si>
    <t>Number of health facilities with at least 80% availability of selected tracer medicines and medical supplies  in the catchment areas of Better Lives supported facilities</t>
  </si>
  <si>
    <t>Number of facilities in the catchment areas of Better Lives supported areas</t>
  </si>
  <si>
    <t>Number of health facilities with at least 80% availability of selected tracer medicines and medical supplies  in the catchment areas of Better Lives supported facilities/Number of facilities in the catchment areas of Better Lives supported areas*100</t>
  </si>
  <si>
    <t>DHIS2/HMIS but from mid-2025 we might use the E-LMIS</t>
  </si>
  <si>
    <t>Proportion of targeted health facilities with appropriate staffing complement and staff available</t>
  </si>
  <si>
    <t>Not to be collected</t>
  </si>
  <si>
    <t>Output 4: Parents, caregivers, children, and pregnant women receive support intended to enhance healthcare practices</t>
  </si>
  <si>
    <t>Nutrition - Vit A / Micronutrient</t>
  </si>
  <si>
    <t>Number of primary caregivers of children aged 0-23 months who received IYCF counselling</t>
  </si>
  <si>
    <r>
      <rPr>
        <sz val="9"/>
        <color rgb="FF000000"/>
        <rFont val="Verdana"/>
        <family val="2"/>
      </rPr>
      <t>Proportion of women interviewed in ANC who know at least three danger signs of newb</t>
    </r>
    <r>
      <rPr>
        <sz val="9"/>
        <color rgb="FFFF0000"/>
        <rFont val="Verdana"/>
        <family val="2"/>
      </rPr>
      <t>orn complications</t>
    </r>
  </si>
  <si>
    <t>This indicator will measure the number of women who understand complications that would lead them to access healthcare.</t>
  </si>
  <si>
    <t>Number of pregnant women in the Better Lives catchment population</t>
  </si>
  <si>
    <t>Women of child bearring age</t>
  </si>
  <si>
    <t xml:space="preserve">Number of pregnant women accessing ANC services in BL facilities divided by the number of women of child bearing age in the same catchment populations. </t>
  </si>
  <si>
    <t>This will be included in the  TPM on quaterly basis and focused on the region planned for the period</t>
  </si>
  <si>
    <t>Output 5: Enhanced reporting and supervision of service delivery</t>
  </si>
  <si>
    <t>Monitoring and Reporting</t>
  </si>
  <si>
    <t>Proportion of facilities submitting timely and complete HMIS reports in the  DHIS II</t>
  </si>
  <si>
    <t>Actual reports submitted on timely and complete on the DHIS2 by facilities in the catchment areas of Better Lives supported facilities</t>
  </si>
  <si>
    <t>Expected reports on DHIS2 by facilities in the catchment areas of Better Lives supported facilities</t>
  </si>
  <si>
    <t>Actual reports submitted on timely and complete on the DHIS2 by facilities in the catchment areas of Better Lives supported facilities/Expected reports on DHIS2 by facilities in the catchment areas of Better Lives supported facilities *100</t>
  </si>
  <si>
    <t>HSS/M&amp;E</t>
  </si>
  <si>
    <t>Number of joint supportive supervision visits conducted in the supported facilities, between the MoH, UNICEF and implementing partners.</t>
  </si>
  <si>
    <r>
      <t>% of Better</t>
    </r>
    <r>
      <rPr>
        <i/>
        <sz val="9"/>
        <color theme="1"/>
        <rFont val="Verdana"/>
        <family val="2"/>
      </rPr>
      <t xml:space="preserve"> </t>
    </r>
    <r>
      <rPr>
        <sz val="9"/>
        <color theme="1"/>
        <rFont val="Verdana"/>
        <family val="2"/>
      </rPr>
      <t>Lives supported facilities that have implemented recommendations from the previous</t>
    </r>
    <r>
      <rPr>
        <sz val="9"/>
        <color rgb="FF00B0F0"/>
        <rFont val="Verdana"/>
        <family val="2"/>
      </rPr>
      <t xml:space="preserve"> </t>
    </r>
    <r>
      <rPr>
        <sz val="9"/>
        <color theme="1"/>
        <rFont val="Verdana"/>
        <family val="2"/>
      </rPr>
      <t>integrated supportive supervision visits</t>
    </r>
  </si>
  <si>
    <r>
      <t>Number of Better</t>
    </r>
    <r>
      <rPr>
        <i/>
        <sz val="9"/>
        <color theme="1"/>
        <rFont val="Verdana"/>
        <family val="2"/>
      </rPr>
      <t xml:space="preserve"> </t>
    </r>
    <r>
      <rPr>
        <sz val="9"/>
        <color theme="1"/>
        <rFont val="Verdana"/>
        <family val="2"/>
      </rPr>
      <t>Lives supported facilities that have implemented recommendations from the previous</t>
    </r>
    <r>
      <rPr>
        <sz val="9"/>
        <color rgb="FF00B0F0"/>
        <rFont val="Verdana"/>
        <family val="2"/>
      </rPr>
      <t xml:space="preserve"> </t>
    </r>
    <r>
      <rPr>
        <sz val="9"/>
        <color theme="1"/>
        <rFont val="Verdana"/>
        <family val="2"/>
      </rPr>
      <t>integrated supportive supervision visits</t>
    </r>
  </si>
  <si>
    <r>
      <t>Number of Better</t>
    </r>
    <r>
      <rPr>
        <i/>
        <sz val="9"/>
        <color theme="1"/>
        <rFont val="Verdana"/>
        <family val="2"/>
      </rPr>
      <t xml:space="preserve"> </t>
    </r>
    <r>
      <rPr>
        <sz val="9"/>
        <color theme="1"/>
        <rFont val="Verdana"/>
        <family val="2"/>
      </rPr>
      <t>Lives supported facilities visited for</t>
    </r>
    <r>
      <rPr>
        <sz val="9"/>
        <color rgb="FF00B0F0"/>
        <rFont val="Verdana"/>
        <family val="2"/>
      </rPr>
      <t xml:space="preserve"> </t>
    </r>
    <r>
      <rPr>
        <sz val="9"/>
        <color theme="1"/>
        <rFont val="Verdana"/>
        <family val="2"/>
      </rPr>
      <t>integrated supportive supervision visits</t>
    </r>
  </si>
  <si>
    <r>
      <rPr>
        <sz val="9"/>
        <color rgb="FF000000"/>
        <rFont val="Verdana"/>
        <family val="2"/>
      </rPr>
      <t>Number of Better</t>
    </r>
    <r>
      <rPr>
        <i/>
        <sz val="9"/>
        <color rgb="FF000000"/>
        <rFont val="Verdana"/>
        <family val="2"/>
      </rPr>
      <t xml:space="preserve"> </t>
    </r>
    <r>
      <rPr>
        <sz val="9"/>
        <color rgb="FF000000"/>
        <rFont val="Verdana"/>
        <family val="2"/>
      </rPr>
      <t>Lives supported facilities that have implemented recommendations from the previous</t>
    </r>
    <r>
      <rPr>
        <sz val="9"/>
        <color rgb="FF00B0F0"/>
        <rFont val="Verdana"/>
        <family val="2"/>
      </rPr>
      <t xml:space="preserve"> </t>
    </r>
    <r>
      <rPr>
        <sz val="9"/>
        <color rgb="FF000000"/>
        <rFont val="Verdana"/>
        <family val="2"/>
      </rPr>
      <t>integrated supportive supervision visits/Number of Better Lives supported facilities visited for integrated supportive supervision visits *100</t>
    </r>
  </si>
  <si>
    <t>Output 6: Support to improving climate resilience of health services delivered</t>
  </si>
  <si>
    <t>UNICEF and partner reports</t>
  </si>
  <si>
    <t xml:space="preserve">Number of health care facilities assessed and provided with climate resilient energy support </t>
  </si>
  <si>
    <t>The specific numbner of facilities assessed and provided with climate resilient services. Current targeted are 87</t>
  </si>
  <si>
    <t>Use this change log to record all changes to the logframe over the life of the project.</t>
  </si>
  <si>
    <t>ID</t>
  </si>
  <si>
    <t>LOGFRAME SECTION</t>
  </si>
  <si>
    <t>DETAILS OF CHANGE</t>
  </si>
  <si>
    <t>AUTHOR</t>
  </si>
  <si>
    <t>DATE</t>
  </si>
  <si>
    <t>Impact Indicators</t>
  </si>
  <si>
    <t>Impact Indicator 1: Maternal mortality ratio</t>
  </si>
  <si>
    <t>No change</t>
  </si>
  <si>
    <t> Impact Indicator 2: Under five mortality rate</t>
  </si>
  <si>
    <t>Impact Indicator 3: Severe Acute Malnutrition Rate</t>
  </si>
  <si>
    <t>Outcome Indicators</t>
  </si>
  <si>
    <r>
      <rPr>
        <b/>
        <i/>
        <sz val="10"/>
        <rFont val="Arial"/>
        <family val="2"/>
      </rPr>
      <t>OUTCOME A:</t>
    </r>
    <r>
      <rPr>
        <i/>
        <sz val="10"/>
        <rFont val="Arial"/>
        <family val="2"/>
      </rPr>
      <t xml:space="preserve"> Improved access to, and use of, quality essential health and nutrition services</t>
    </r>
  </si>
  <si>
    <r>
      <t xml:space="preserve">This is at a lower causal level than current formulation of Output 1. Propose a clearer structure where Outputs relate to delivery of services, and outcome to access </t>
    </r>
    <r>
      <rPr>
        <u/>
        <sz val="11"/>
        <rFont val="Calibri"/>
        <family val="2"/>
      </rPr>
      <t>and use</t>
    </r>
    <r>
      <rPr>
        <sz val="11"/>
        <rFont val="Calibri"/>
        <family val="2"/>
      </rPr>
      <t xml:space="preserve">.
This is at a lower causal level than current formulation of Output 1. Propose a clearer structure where Outputs relate to delivery of services, and outcome to access and use.
There is currently no outcome (or outcome indicators) related to improving health sector stewardship and systems. This reflects the reduced ambition of the programme in this area but an additional outcome is required to reflect climate resilience objectives.
</t>
    </r>
    <r>
      <rPr>
        <b/>
        <sz val="11"/>
        <rFont val="Calibri"/>
        <family val="2"/>
      </rPr>
      <t>Noting the above and to incorporate partners' comments, the overall  indicator was changed from: Improved access to quality essential health and nutrition services to Improved access to, and use of, quality essential health and nutrition services</t>
    </r>
    <r>
      <rPr>
        <sz val="11"/>
        <rFont val="Calibri"/>
        <family val="2"/>
      </rPr>
      <t xml:space="preserve">
All of the outcome indicators are defined as proportions, rather than absolute numbers. This is meaningful at this level if the denominator is the population served by a facility but this depends on being able to make accurate estimates of population served by a health facility and the possible effects of population displacement.</t>
    </r>
  </si>
  <si>
    <t>Caroline Mwangi</t>
  </si>
  <si>
    <t>Outcome A.1 % of women in catchment areas supported by Better Lives using modern contraception.</t>
  </si>
  <si>
    <t>Changed from: Family Planning - % of health facilities that provide contraceptive services in Better Lives supported areas, in collaboration with UNFPA. 
Considerations made for change: This is a measure of service availability so does not belong at this level. Need also to know how many people are supplied with contraceptive services, and what number/proportion of the population are using them.</t>
  </si>
  <si>
    <r>
      <t>Outcome Indicator A.2: Antenatal Care (ANC) coverage – Proportion of antenatal clients seen for the 4</t>
    </r>
    <r>
      <rPr>
        <vertAlign val="superscript"/>
        <sz val="11"/>
        <rFont val="Calibri"/>
        <family val="2"/>
      </rPr>
      <t>th</t>
    </r>
    <r>
      <rPr>
        <sz val="11"/>
        <rFont val="Calibri"/>
        <family val="2"/>
      </rPr>
      <t xml:space="preserve"> visit by skilled personnel, of estimated pregnant population in catchment areas of Better Lives supported facilities</t>
    </r>
  </si>
  <si>
    <t>Remains the same: Antenatal Care (ANC) coverage – Proportion of antenatal clients seen for the 4th visit by skilled personnel, of estimated pregnant population in Better Lives supported health facilities.
If use proportionate measure, need to clarify that denominator is estimated number of pregnant women in the target population. 
Appropriate to include proportionate measures of ANC4 as outcome measure and ANC1 numbers as output measure because ANC4 also requires behavioural change
Other considerations: Possible to report as data is available in DHIS2. Although its important to agree on the population to use for the denominator</t>
  </si>
  <si>
    <t>Outcome Indicator A.3: Skilled attendance at birth - % of deliveries in Better Lives supported areas attended by skilled health personnel.</t>
  </si>
  <si>
    <t> Changed from: Skilled attendance at birth - % of deliveries attended by skilled health personnel in Better Lives healthcare facilities.
Denominator should be estimated number of births in the target population. Output 1.3 measures attended deliveries at facilities.</t>
  </si>
  <si>
    <t>Outcome Indicator A.4: Immunisation coverage: proportion of children in catchment areas of Better Lives supported facilities vaccinated with the third dose of pentavalent vaccine</t>
  </si>
  <si>
    <t xml:space="preserve">Changed from: Immunisation coverage – Proportion of children vaccinated with the third dose of pentavalent vaccine
If use proportionate measure, need to clarify that denominator is number of children in the target population.
The target population to allow for determination of the denominator needs to be defined. 
</t>
  </si>
  <si>
    <t>Outcome Indicator A.5: Severe acute malnutrition – proportion of discharged children who recovered from SAM treatment in OTP/SC</t>
  </si>
  <si>
    <t xml:space="preserve">No change. 
This is a measure of the effectiveness of treatment for SAM (included in DHIS II). A low number treated (Output 2.2) but with high effectiveness would score well Note that efforts need to continue in communities to identify and treat children with SAM whilst recognising that those managed are only a small proportion of the population. </t>
  </si>
  <si>
    <t xml:space="preserve">Outcome Indicator A.6: Utilisation and access – proportion of population in the catchment areas of Better Lives supported facilities using OPD services </t>
  </si>
  <si>
    <t>Changed from: Utilisation and access – Health facility utilisation rate.  
To support measurement, there is need to define proportion of the population and the type of service we are measuring. 
It is best if we use OPD service which will be a good indicator.
e.g. Number of people/Proportion of population with adequate access to primary health care services (OPD services) provided in better live supported facilities</t>
  </si>
  <si>
    <t>OUTCOME B: Improve climate resilience of health system</t>
  </si>
  <si>
    <t>Outcome indicator to reflect climate change resilience objective. Improved resilience (outcome) should lead to improved health and nutrition status (impact), so no additional impact indicator required.
Indicator updated as: Number of people served by health facilities with improved access to clean energy(ICF2)</t>
  </si>
  <si>
    <t>Changed from: Women of childbearing age access and utilize quality RMNCAH and nutrition services including family planning - which was at a higher level in the causal pathway than the Outcome. Redefined to relate to services delivered</t>
  </si>
  <si>
    <t>Output Indicator 1.1: Number of Better Lives supported health facilities providing contraceptive services</t>
  </si>
  <si>
    <t xml:space="preserve">Changed from: Number of health facilities providing contraceptive services in Better Lives supported areas, in collaboration with UNFPA. </t>
  </si>
  <si>
    <t>Output Indicator 1.2: Number of antenatal clients seen for the 1st visit before 12 weeks of pregnancy</t>
  </si>
  <si>
    <t>Changed from: Proportion/number of antenatal clients seen for the 1st visit before 12 weeks of pregnancy
Outputs to be defined in terms of numbers, outcomes as proportion of target population</t>
  </si>
  <si>
    <t>Output Indicator 1.3: Number of deliveries assisted by skilled birth attendants at Better Lives supported health facilities.</t>
  </si>
  <si>
    <t>Output Indicator 1.4: Number of women who received post-natal care (PNC) within 48 hours of childbirth.</t>
  </si>
  <si>
    <t>Output Indicator 1.5: Number of facility-based staff and community health care workers that are trained in Maternal and Newborn Care in the targeted Better Lives health facilities.</t>
  </si>
  <si>
    <t>Moved from 3.1</t>
  </si>
  <si>
    <r>
      <t xml:space="preserve">Changed from: Children under five have access to an essential package of health services to reduce morbidity and mortality from malnutrition and main childhood illnesses like Malaria, pneumonia, diarrhoea, and measles
Contents of essential package still to be confirmed.
Prior consideration is number/proportion of health facilities that have staff, skills and supplies to deliver the essential package
</t>
    </r>
    <r>
      <rPr>
        <b/>
        <sz val="10"/>
        <rFont val="Arial"/>
        <family val="2"/>
      </rPr>
      <t>[Measurement is provided by related indicators listed below: all should be disaggregated by age and gender]</t>
    </r>
  </si>
  <si>
    <t>Output Indicator 2.1: Dropout rate between infants receiving the 1st dose (penta 1) of pentavalent vaccine and the 3rd dose (penta 3)</t>
  </si>
  <si>
    <t>Output Indicator 2.2: Number of children disaggregated by gender, aged 6-59, months with severe acute malnutrition who receive treatment.</t>
  </si>
  <si>
    <t>Output Indicator 2.3: Number of children (0-59 months) with diarrhoea treated with oral rehydration solution (ORS) and Zinc sulphate, disaggregated by age and gender.</t>
  </si>
  <si>
    <t>No change
If incidence of diarrhoea falls but treatment proportion unchanged, this will show fall but still appropriate as output measure</t>
  </si>
  <si>
    <t xml:space="preserve">Output Indicator 2.4: Number of children 0-59 months with Pneumonia treated with Amoxicillin </t>
  </si>
  <si>
    <t>Changed from: Proportion of children 0-59 months with malaria treated with Amoxicillin; Proportion of children 0-59 months with Pneumonia treated with Amoxicillin  
Proposed outputs should be numbers treated. Proportions of children in population with diseases would be outcome measure</t>
  </si>
  <si>
    <t>Output 3: People are accessing quality curative health services.</t>
  </si>
  <si>
    <t>No change
“Access” should be higher in the causal pathway
Indicators partially cover resources required to deliver (quality) services and do not relate to access
Should include an indicator of the numbers of people accessing services, and of community/client satisfaction with services available/delivered (including in relation to use of competing/complementary private services)
Output 3 should measure capacity of facilities to deliver services</t>
  </si>
  <si>
    <t>Output indicator 3.1: Number of people using OPD services at Better Lives supported health facilities (disaggregated by age and gender)</t>
  </si>
  <si>
    <t>Indicator added to reflect an indicator of aggregate services delivered</t>
  </si>
  <si>
    <t>Output Indicator 3.2: Proportion of facilities that report essential tracer medicine stockouts</t>
  </si>
  <si>
    <r>
      <t xml:space="preserve">Changed from: Forecasting accuracy: Proportion of health facilities timely reporting stock status in the LMIS  
The change was as a result of High forecasting accuracy could be combined with severe stock shortages (if supply system disrupted). Indicator should be moved to Output 5 (quality of reporting), and replaced with an appropriate indicator of stock availability. Therefore, final indicator agreed on is </t>
    </r>
    <r>
      <rPr>
        <b/>
        <sz val="10"/>
        <rFont val="Arial"/>
        <family val="2"/>
      </rPr>
      <t>Proportion of facilities that report essential tracer medicine stockouts</t>
    </r>
    <r>
      <rPr>
        <sz val="10"/>
        <rFont val="Arial"/>
        <family val="2"/>
      </rPr>
      <t xml:space="preserve">
</t>
    </r>
    <r>
      <rPr>
        <b/>
        <i/>
        <sz val="10"/>
        <rFont val="Arial"/>
        <family val="2"/>
      </rPr>
      <t xml:space="preserve">Denominator: Number of health facilities visited, or reported in LMIS:
Diagnostic Tracer Items to be determined: e.g. Amoxicillin </t>
    </r>
  </si>
  <si>
    <t>Output indicator 3.3: Proportion of targeted health facilities with appropriate staffing complement and staff available</t>
  </si>
  <si>
    <t>This is a new indicator added to ensure reporting against staffin. However, following various discussions with UNICEF, health authorities and partners, the indicator was found not to be feasible to collect data and in any case, funding decline would not allow for recruitment of additional staff. It was recommended that partners work with the available staff per facility and ensure that these contribute to as much cost-effciiency as possible (e.g., the health nurses also provide family planning services and nutrition for a more integrated approach)</t>
  </si>
  <si>
    <t xml:space="preserve">Changed from: Parents, caregivers, children, and pregnant women receive support intended to enhance healthcare practices. </t>
  </si>
  <si>
    <t>Output Indicator 4.1: Number of primary caregivers of children aged 0-23 months who received IYCF counselling</t>
  </si>
  <si>
    <t>Output Indicator 4.2: Proportion of women interviewed in ANC who know at least three danger signs of newborn complications</t>
  </si>
  <si>
    <t xml:space="preserve">Changed from: Number of women interviewed in ANC who know at least 3 danger signs of newborn complications as Proportion of women interviewed who know danger signs would be better indication of knowledge
Collection of data for this indicator will require close collaboration with TPM Data collection (that includes client satisfation surveys) and Baseline Assessment data collaction elements. Downstream partners to also consider options to support more regular data collection. </t>
  </si>
  <si>
    <t xml:space="preserve">Changed from: The MOH and partners have enhanced capacity to deliver, monitor and report on services towards strengthening the quality of health systems.
The indicators relate mainly to the capacity of facilities, the phrasing of the Output relates to capacity of MOH and partners. The latter is mainly outside the scope of Better Lives so propose narrowing this to focus on the main issues that the programme is addressing. 
The proposed indicators do not address some wider system and stewardship issues (e.g. referral, HR systems etc.) whose importance was stressed in the workshop – but these should be considered as assumptions since not addressed by the programme. </t>
  </si>
  <si>
    <t>Output Indicator 5.1: Proportion of facilities submitting timely and complete HMIS reports in the  DHIS II</t>
  </si>
  <si>
    <r>
      <t xml:space="preserve">Changed from: Proportion of facilities supported to improve reporting that submit timely and complete HMIS reports against the DHIS II as the standard of measurement - because this is a measure of effectiveness of support, but a better measure of facility reporting capacity is the proportion of facilities submitting timely and complete HMIS reports. </t>
    </r>
    <r>
      <rPr>
        <b/>
        <sz val="10"/>
        <rFont val="Arial"/>
        <family val="2"/>
      </rPr>
      <t xml:space="preserve">Numbers provided with support would be appropriate process indicator </t>
    </r>
  </si>
  <si>
    <t>Output Indicator 5.2: Number of joint supportive supervision visits conducted in the supported facilities, between the MoH, UNICEF and implementing partners.</t>
  </si>
  <si>
    <r>
      <t xml:space="preserve">Output Indicator 5.3: </t>
    </r>
    <r>
      <rPr>
        <sz val="11"/>
        <rFont val="Calibri"/>
        <family val="2"/>
      </rPr>
      <t>% of Better</t>
    </r>
    <r>
      <rPr>
        <i/>
        <sz val="11"/>
        <rFont val="Calibri"/>
        <family val="2"/>
      </rPr>
      <t xml:space="preserve"> </t>
    </r>
    <r>
      <rPr>
        <sz val="11"/>
        <rFont val="Calibri"/>
        <family val="2"/>
      </rPr>
      <t>Lives supported facilities that have implemented recommendations from the previous</t>
    </r>
    <r>
      <rPr>
        <sz val="11"/>
        <color rgb="FF00B0F0"/>
        <rFont val="Calibri"/>
        <family val="2"/>
      </rPr>
      <t xml:space="preserve"> </t>
    </r>
    <r>
      <rPr>
        <sz val="11"/>
        <rFont val="Calibri"/>
        <family val="2"/>
      </rPr>
      <t>integrated supportive supervision visits</t>
    </r>
  </si>
  <si>
    <t xml:space="preserve">No change. However, the indicator will require a clear operational definition of “actioned feedback” throughout the implementatio process. </t>
  </si>
  <si>
    <t>New indicators included</t>
  </si>
  <si>
    <t>Output indicator 6.1: Number of people supported to better adapt to the effects of climate change [ICF1]</t>
  </si>
  <si>
    <t>Agreed that this indicator would instead be reported at outcome level</t>
  </si>
  <si>
    <t>Output Indicator 6.2: Number of facilities in programme areas that are assessed for climate resilient support</t>
  </si>
  <si>
    <t>New indicator included</t>
  </si>
  <si>
    <t>GPS coordinates</t>
  </si>
  <si>
    <t>S/N</t>
  </si>
  <si>
    <t xml:space="preserve">Region </t>
  </si>
  <si>
    <t xml:space="preserve">District </t>
  </si>
  <si>
    <t xml:space="preserve">Name of the facility </t>
  </si>
  <si>
    <t>Longitude</t>
  </si>
  <si>
    <t xml:space="preserve">Latitude </t>
  </si>
  <si>
    <t>PESS District population at Facility catchment</t>
  </si>
  <si>
    <t>PESS District population at BL Facility catchment</t>
  </si>
  <si>
    <t>Under-1 catchment Population (3.8%)</t>
  </si>
  <si>
    <t>Under-5 catchment population (18%)</t>
  </si>
  <si>
    <t>Estimated catchment Pregnant women (4.5%)</t>
  </si>
  <si>
    <t>Expected Live births in the catchment (4%)</t>
  </si>
  <si>
    <t>WCBA catchment population (22%)</t>
  </si>
  <si>
    <t>Awdal</t>
  </si>
  <si>
    <t>Borama</t>
  </si>
  <si>
    <t>Central HC</t>
  </si>
  <si>
    <t>Shifo HC</t>
  </si>
  <si>
    <t>Sheed Dheer HC</t>
  </si>
  <si>
    <t>Qoorgaab HC</t>
  </si>
  <si>
    <t>SH Ali Jawhar HC</t>
  </si>
  <si>
    <t>Sh. Osman HC</t>
  </si>
  <si>
    <t>Borama Hospital</t>
  </si>
  <si>
    <t>Idhanka HC</t>
  </si>
  <si>
    <t>Quljeed HC</t>
  </si>
  <si>
    <t>Boon HC</t>
  </si>
  <si>
    <t xml:space="preserve">Zeila </t>
  </si>
  <si>
    <t>Hariirad HC</t>
  </si>
  <si>
    <t>Abdikadir HC</t>
  </si>
  <si>
    <t>Jidhi HC</t>
  </si>
  <si>
    <t>Fiqi Adan HC</t>
  </si>
  <si>
    <t>Zeila Hospital</t>
  </si>
  <si>
    <t>Lowyo'ado HC</t>
  </si>
  <si>
    <t>Togdheer</t>
  </si>
  <si>
    <t>Buroa</t>
  </si>
  <si>
    <t>Aden Saleban Health Center</t>
  </si>
  <si>
    <t>Bali-Dhig Health Center</t>
  </si>
  <si>
    <t>Burao Central Health Center</t>
  </si>
  <si>
    <t>Burao General Hospital</t>
  </si>
  <si>
    <t>Caqil Yare Health Center</t>
  </si>
  <si>
    <t>Dhagah-Dher Health Center</t>
  </si>
  <si>
    <t>Dhoqoshay Health Center</t>
  </si>
  <si>
    <t>Dr. Alag Health Center</t>
  </si>
  <si>
    <t>Dr. Yusuf Health Center</t>
  </si>
  <si>
    <t>Druqsi Health Center</t>
  </si>
  <si>
    <t>Gebo gebo Health Center</t>
  </si>
  <si>
    <t>Haradagubatoxiil Health Center</t>
  </si>
  <si>
    <t>Kosar Health Center</t>
  </si>
  <si>
    <t>Nasiye Health Center</t>
  </si>
  <si>
    <t>Qoryale Health Center</t>
  </si>
  <si>
    <t>Riyo xidho health Center</t>
  </si>
  <si>
    <t>Shansha-Ade Health Center</t>
  </si>
  <si>
    <t>War-Ibran Health Center</t>
  </si>
  <si>
    <t>Yirowe Health Center</t>
  </si>
  <si>
    <t>Odweine</t>
  </si>
  <si>
    <t>Abdi Farah HC</t>
  </si>
  <si>
    <t>Haji Salah Health Center</t>
  </si>
  <si>
    <t>Jameecaad Health Centre</t>
  </si>
  <si>
    <t>Odwayne Health Center</t>
  </si>
  <si>
    <t>Odwayne Hospital</t>
  </si>
  <si>
    <t>Gedo</t>
  </si>
  <si>
    <t>Beled Hawa</t>
  </si>
  <si>
    <t>Belet Hawa District Hospital</t>
  </si>
  <si>
    <t>Beled Hawa HC</t>
  </si>
  <si>
    <t>Belet Hawa Outreach</t>
  </si>
  <si>
    <t>Belet Amin PHU</t>
  </si>
  <si>
    <t>Dollow</t>
  </si>
  <si>
    <t>Dollow District Hospital</t>
  </si>
  <si>
    <t>Gedweyne HC</t>
  </si>
  <si>
    <t>Dollow Outreach</t>
  </si>
  <si>
    <t>Garbaharey</t>
  </si>
  <si>
    <t>Garbaharrey District Hospital</t>
  </si>
  <si>
    <t>Garbaharrey HC</t>
  </si>
  <si>
    <t>Garbaharrey Outreach Team</t>
  </si>
  <si>
    <t>Luuq</t>
  </si>
  <si>
    <t>Luuq District Hospital</t>
  </si>
  <si>
    <t>Akara HC</t>
  </si>
  <si>
    <t>Usbo HC</t>
  </si>
  <si>
    <t>Luuq Outreach</t>
  </si>
  <si>
    <t>Abow PHU</t>
  </si>
  <si>
    <t>Benadir</t>
  </si>
  <si>
    <t>SHINGANI</t>
  </si>
  <si>
    <t>Shangani Referral HC</t>
  </si>
  <si>
    <t>DEYNILE</t>
  </si>
  <si>
    <t>Deynille District Hosp</t>
  </si>
  <si>
    <t>Isse Abdi HC</t>
  </si>
  <si>
    <t>Kulmiye HC</t>
  </si>
  <si>
    <t>Forilow HC</t>
  </si>
  <si>
    <t>HODON</t>
  </si>
  <si>
    <t>Hodan HC</t>
  </si>
  <si>
    <t>October HC</t>
  </si>
  <si>
    <t>Galgadud</t>
  </si>
  <si>
    <t>Dhusamareb + Guriel</t>
  </si>
  <si>
    <t>Dayah Hospital</t>
  </si>
  <si>
    <t xml:space="preserve">Isterlin Hospital </t>
  </si>
  <si>
    <t>Bohol HC</t>
  </si>
  <si>
    <t xml:space="preserve"> Marergur HC</t>
  </si>
  <si>
    <t>Gadoon HC</t>
  </si>
  <si>
    <t>Eldhere HC</t>
  </si>
  <si>
    <t>Faragoye HC</t>
  </si>
  <si>
    <t>Mudug</t>
  </si>
  <si>
    <t>Hobyo</t>
  </si>
  <si>
    <t xml:space="preserve">Hobyo District Hospital </t>
  </si>
  <si>
    <t>Wisil HC,</t>
  </si>
  <si>
    <t>Elgula HC</t>
  </si>
  <si>
    <t>Eldibir HC</t>
  </si>
  <si>
    <t>Gawan HC</t>
  </si>
  <si>
    <t>Bud-BuD HC</t>
  </si>
  <si>
    <t>Hero-dhagahley HC</t>
  </si>
  <si>
    <t>Bajela HC</t>
  </si>
  <si>
    <t>qaranrow HC</t>
  </si>
  <si>
    <t>Barak Ciise</t>
  </si>
  <si>
    <t>Abudwak</t>
  </si>
  <si>
    <t xml:space="preserve">Abudwak District Hsopital </t>
  </si>
  <si>
    <t>Dhabat  HC</t>
  </si>
  <si>
    <t>Wabari HC</t>
  </si>
  <si>
    <t>Bangele HC</t>
  </si>
  <si>
    <t>Balanbale</t>
  </si>
  <si>
    <t xml:space="preserve">Balanable General Hospital </t>
  </si>
  <si>
    <t>Elasha  HC</t>
  </si>
  <si>
    <t xml:space="preserve">Turbi HC </t>
  </si>
  <si>
    <t>Barwaqo HC</t>
  </si>
  <si>
    <t>Please refer to the Guidance Notes tab for advice on completing the various fields in the logframe.</t>
  </si>
  <si>
    <t>Please refer to the Results Framework Prof Guide for broader information on the logframe approach</t>
  </si>
  <si>
    <t>BETTER LIVES FOR SOMALI WOMEN AND CHILDREN LOGICAL FRAMEWORK - APRIL 2024 - MARCH 2025</t>
  </si>
  <si>
    <t>Impact Indicator 1</t>
  </si>
  <si>
    <t>Baseline</t>
  </si>
  <si>
    <t>Assumptions</t>
  </si>
  <si>
    <t>Improved health and nutrition status for vulnerable Somalis</t>
  </si>
  <si>
    <t>Planned</t>
  </si>
  <si>
    <t xml:space="preserve">These impact indicators will be measured through a bespoke Better Lives programme evaluation. Additional input will be provided through baseline assessment that will support understanding of the Better Lives catchment population figures. Data will be traingulated through the SHDS and MICS conducted by FGS and Somaliland. </t>
  </si>
  <si>
    <t>Achieved</t>
  </si>
  <si>
    <t>Source:</t>
  </si>
  <si>
    <t xml:space="preserve"> Better Lives programme evaluation conducted by OPM as the MEL adviser </t>
  </si>
  <si>
    <t>Impact Indicator 2</t>
  </si>
  <si>
    <t>Impact Indicator 3</t>
  </si>
  <si>
    <t>Outcome Indicator 1</t>
  </si>
  <si>
    <t>Target (National )-
EOP 2026</t>
  </si>
  <si>
    <t>Milestone-1 
(Apr - Sept 2024)</t>
  </si>
  <si>
    <t>Milestone-2 
(Oct 2024 - March 2025)</t>
  </si>
  <si>
    <t>Review Period (Milestone 1 and Milestone 2)
(April 2024 - March 2025)</t>
  </si>
  <si>
    <t>Milestone-3 
(Apr - Sept 2025)</t>
  </si>
  <si>
    <t>Milestone-4 
(Oct 2025 - March 2026)</t>
  </si>
  <si>
    <t>Milestone-5 
(Apr - Sept 2026)</t>
  </si>
  <si>
    <r>
      <rPr>
        <b/>
        <u/>
        <sz val="11"/>
        <rFont val="Calibri"/>
        <family val="2"/>
      </rPr>
      <t>OUTCOME A:</t>
    </r>
    <r>
      <rPr>
        <sz val="11"/>
        <rFont val="Calibri"/>
        <family val="2"/>
      </rPr>
      <t xml:space="preserve"> Improved access to, and use of, quality essential health and nutrition services</t>
    </r>
  </si>
  <si>
    <t> Work to extend coverage of essential services will bring them to vulnerable Somalis who would otherwise not receive them. 
Improving quality of care and tackling other barriers to uptake will increase utilisation of services and positive impact. 
Increased utilisation of quality care will reduce preventable death and morbidity. 
Health systems that focus on reducing overall vulnerability and developing specific system capacities are more resilient to climate change. 
Building core health system elements including government stewardship will strengthen value for money of delivery over the long-term. 
Strengthening district and community systems (not just national level) will increase resilience of investments. 
Stimulating increased domestic commitment to financing and evidence-based policy at all levels will contribute to sustainability. 
Working more closely with Government, including possibly financing through Government systems, will contribute to sustainability and stability.</t>
  </si>
  <si>
    <t>Outcome Indicator 2</t>
  </si>
  <si>
    <t>Proportion of antenatal clients seen for the 4th visit by skilled personnel, of estimated pregnant population in catchment areas of Better Lives supported facilities/ ANC-4th visit coverage</t>
  </si>
  <si>
    <t>Outcome Indicator 3</t>
  </si>
  <si>
    <t>Outcome Indicator 4</t>
  </si>
  <si>
    <t>Outcome Indicator 5</t>
  </si>
  <si>
    <t>Outcome Indicator 6</t>
  </si>
  <si>
    <t>Proportion of population in the catchment areas of Better Lives supported facilities using OPD services.</t>
  </si>
  <si>
    <t>0.38</t>
  </si>
  <si>
    <r>
      <rPr>
        <b/>
        <u/>
        <sz val="11"/>
        <rFont val="Calibri"/>
        <family val="2"/>
      </rPr>
      <t>OUTCOME B</t>
    </r>
    <r>
      <rPr>
        <b/>
        <sz val="11"/>
        <rFont val="Calibri"/>
        <family val="2"/>
      </rPr>
      <t>: Improve climate resilience of health system</t>
    </r>
  </si>
  <si>
    <t>Number of people served by health facilities with improved access to clean energy(ICF2)</t>
  </si>
  <si>
    <t xml:space="preserve">Number of consultations in the BL health facilities with improved access clean energy such as Solar powered fridges, Biogas etc. Consultation visits include OPD, ANC, PNC, SBA. Proportion of facilities with clean energy. </t>
  </si>
  <si>
    <t>TBD</t>
  </si>
  <si>
    <t>INPUTS (£)</t>
  </si>
  <si>
    <t>FCDO (£)</t>
  </si>
  <si>
    <t>Govt (£)</t>
  </si>
  <si>
    <t>INPUTS (HR)</t>
  </si>
  <si>
    <t>FCDO (FTEs)</t>
  </si>
  <si>
    <t>OUTPUT 1</t>
  </si>
  <si>
    <t>Output Indicator 1.1</t>
  </si>
  <si>
    <t>Health facilities deliver quality reproductive maternal healthcare and nutrition services, including family planning, to women of childbearing age</t>
  </si>
  <si>
    <t>Number of Better Lives supported health facilities providing contraceptive services </t>
  </si>
  <si>
    <t>Output Indicator 1.2</t>
  </si>
  <si>
    <t>Number of antenatal clients seen for the 1st visit before 12 weeks of pregnancy </t>
  </si>
  <si>
    <t>Work to extend coverage of essential services will bring them to vulnerable Somalis who would otherwise not receive them. 
Improving quality of care and tackling other barriers to uptake will increase utilisation of services and positive impact. 
Increased utilisation of quality care will reduce preventable death and morbidity. 
Health systems that focus on reducing overall vulnerability and developing specific system capacities are more resilient to climate change. 
Building core health system elements including government stewardship will strengthen value for money of delivery over the long-term. 
Strengthening district and community systems (not just national level) will increase resilience of investments. 
Stimulating increased domestic commitment to financing and evidence-based policy at all levels will contribute to sustainability. 
Working more closely with Government, including possibly financing through Government systems, will contribute to sustainability and stability.</t>
  </si>
  <si>
    <t>Output Indicator 1.3</t>
  </si>
  <si>
    <t>Number of deliveries assisted by skilled birth attendants at Better Lives supported health facilities.</t>
  </si>
  <si>
    <t>Output Indicator 1.4</t>
  </si>
  <si>
    <t>Output Indicator 1.5</t>
  </si>
  <si>
    <t xml:space="preserve">Source: </t>
  </si>
  <si>
    <t>Program reports/ Training reports/Supervison visits reports or assessment reports; UNICEF and partner project document reports; analysis during the quarterly review meetings; TPM verification exercises</t>
  </si>
  <si>
    <t>IMPACT WEIGHTING (40%)</t>
  </si>
  <si>
    <t>OUTPUT 2</t>
  </si>
  <si>
    <t>Output Indicator 2.1</t>
  </si>
  <si>
    <t>Health facilities deliver quality essential package of services to children under 5</t>
  </si>
  <si>
    <t>Dropout rate Pentavalant 1st dose to Pentavalent 3rd dose</t>
  </si>
  <si>
    <t>8.7%</t>
  </si>
  <si>
    <t>7.8%</t>
  </si>
  <si>
    <t>8.5%</t>
  </si>
  <si>
    <t>8.2%</t>
  </si>
  <si>
    <t>9.9%</t>
  </si>
  <si>
    <t>Output Indicator 2.3</t>
  </si>
  <si>
    <t>Output Indicator 2.4</t>
  </si>
  <si>
    <t>Number of children (0-59 months) with diarrhoea treated with oral rehydration solution (ORS) and Zinc sulphate, disaggregated by age. (Gender will be incoperated after discussion with the government)</t>
  </si>
  <si>
    <t>Output Indicator 2.5</t>
  </si>
  <si>
    <t>IMPACT WEIGHTING (20%)</t>
  </si>
  <si>
    <t>OUTPUT 3</t>
  </si>
  <si>
    <t>Output Indicator 3.1</t>
  </si>
  <si>
    <t>Health facilities deliver quality curative services</t>
  </si>
  <si>
    <t xml:space="preserve">Number of people using OPD services at Better Lives supported health facilities (disaggregated by age and gender)
</t>
  </si>
  <si>
    <t>Output Indicator 3.2</t>
  </si>
  <si>
    <t xml:space="preserve">Proportion of health facilities with at least 80% availability of selected tracer medicines and medical supplies </t>
  </si>
  <si>
    <t>DHIS2/HMIS, may use eLMIS once rolled out</t>
  </si>
  <si>
    <t>IMPACT WEIGHTING (10%)</t>
  </si>
  <si>
    <t>OUTPUT 4</t>
  </si>
  <si>
    <t>Output Indicator 4.1</t>
  </si>
  <si>
    <t>Parents, caregivers, children, and pregnant women receive support intended to enhance healthcare practices</t>
  </si>
  <si>
    <t xml:space="preserve">Number of primary caregivers of children aged 0-23 months who received IYCF counselling
</t>
  </si>
  <si>
    <t xml:space="preserve"> Improving quality of care and tackling other barriers to uptake will increase utilisation of services and positive impact. 
Increased utilisation of quality care will reduce preventable death and morbidity. </t>
  </si>
  <si>
    <t>Output Indicator 4.2</t>
  </si>
  <si>
    <t>Proportion of women interviewed in ANC who know at least three danger signs of newborn complications</t>
  </si>
  <si>
    <t xml:space="preserve">Improving quality of care and tackling other barriers to uptake will increase utilisation of services and positive impact. 
Increased utilisation of quality care will reduce preventable death and morbidity. </t>
  </si>
  <si>
    <t>Source: FCDO run Third party monitoring exercise (Dec 2024 to March 2025)</t>
  </si>
  <si>
    <t xml:space="preserve">This will be done through quick assessment, it can also be report on the supervision visits if we include in our questionaire </t>
  </si>
  <si>
    <t>IMPACT WEIGHTING (5%)</t>
  </si>
  <si>
    <t>OUTPUT 5</t>
  </si>
  <si>
    <t>Output Indicator 5.1</t>
  </si>
  <si>
    <t>Enhanced reporting and supervision of service delivery</t>
  </si>
  <si>
    <t xml:space="preserve">Proportion of facilities submitting timely and complete HMIS reports in the  DHIS II (RMNCH Form completeness)
</t>
  </si>
  <si>
    <t>Building core health system elements including government stewardship will strengthen value for money of delivery over the long-term. 
Strengthening district and community systems (not just national level) will increase resilience of investments.  </t>
  </si>
  <si>
    <t>Output Indicator 5.2</t>
  </si>
  <si>
    <t>IMPACT WEIGHTING (15%)</t>
  </si>
  <si>
    <t>Output Indicator 5.3</t>
  </si>
  <si>
    <t>% of Better Lives supported facilities that have implemented recommendations from the previous integrated supportive supervision visits</t>
  </si>
  <si>
    <t>Support to improving climate resilience of health services delivered</t>
  </si>
  <si>
    <t>Output Indicator 6.1</t>
  </si>
  <si>
    <t xml:space="preserve">Health systems that focus on reducing overall vulnerability and developing specific system capacities are more resilient to climate change. </t>
  </si>
  <si>
    <t>DHIS2/HMIS; UNICEF and partner specific reports</t>
  </si>
  <si>
    <r>
      <rPr>
        <sz val="9"/>
        <color rgb="FF000000"/>
        <rFont val="Verdana"/>
        <family val="2"/>
      </rPr>
      <t>Proportion of antenatal clients seen for the 4</t>
    </r>
    <r>
      <rPr>
        <vertAlign val="superscript"/>
        <sz val="9"/>
        <color rgb="FF000000"/>
        <rFont val="Verdana"/>
        <family val="2"/>
      </rPr>
      <t>th</t>
    </r>
    <r>
      <rPr>
        <sz val="9"/>
        <color rgb="FF000000"/>
        <rFont val="Verdana"/>
        <family val="2"/>
      </rPr>
      <t xml:space="preserve"> visit by skilled personnel, of estimated pregnant population in catchment areas of Better Lives supported facilities/</t>
    </r>
    <r>
      <rPr>
        <sz val="9"/>
        <color rgb="FFFF0000"/>
        <rFont val="Verdana"/>
        <family val="2"/>
      </rPr>
      <t>Antenatal Client 4th visit coverage</t>
    </r>
  </si>
  <si>
    <r>
      <rPr>
        <sz val="9"/>
        <color rgb="FF000000"/>
        <rFont val="Verdana"/>
        <family val="2"/>
      </rPr>
      <t>Proportion of antenatal clients seen for 4th visit of estimated pregnant population in catchment areas of Better Lives supported facilities/</t>
    </r>
    <r>
      <rPr>
        <sz val="9"/>
        <color rgb="FFFF0000"/>
        <rFont val="Verdana"/>
        <family val="2"/>
      </rPr>
      <t>The indicator measures the percentage of women aged 15 to 49 with a live birth who received antenatal care at least four times during pregnancy</t>
    </r>
  </si>
  <si>
    <r>
      <rPr>
        <sz val="9"/>
        <color rgb="FF000000"/>
        <rFont val="Verdana"/>
        <family val="2"/>
      </rPr>
      <t>Skilled attendance at birth - % of deliveries in Better Lives supported areas attended by skilled health personnel./</t>
    </r>
    <r>
      <rPr>
        <sz val="9"/>
        <color rgb="FFFF0000"/>
        <rFont val="Verdana"/>
        <family val="2"/>
      </rPr>
      <t>Skilled birth attendant delivery rate</t>
    </r>
  </si>
  <si>
    <r>
      <rPr>
        <sz val="9"/>
        <color rgb="FF000000"/>
        <rFont val="Verdana"/>
        <family val="2"/>
      </rPr>
      <t>proportion of children in catchment areas of Better Lives supported facilities vaccinated with the third dose of pentavalent vaccine/</t>
    </r>
    <r>
      <rPr>
        <sz val="9"/>
        <color rgb="FFFF0000"/>
        <rFont val="Verdana"/>
        <family val="2"/>
      </rPr>
      <t>Pentavalent 3rd dose coverage (0 - 11 m)</t>
    </r>
  </si>
  <si>
    <r>
      <rPr>
        <sz val="9"/>
        <color rgb="FF000000"/>
        <rFont val="Verdana"/>
        <family val="2"/>
      </rPr>
      <t>Utilisation and access – proportion of population in the catchment areas of Better Lives supported facilities using OPD services/</t>
    </r>
    <r>
      <rPr>
        <sz val="9"/>
        <color rgb="FFFF0000"/>
        <rFont val="Verdana"/>
        <family val="2"/>
      </rPr>
      <t xml:space="preserve">Outpatient Utilisation rate - all </t>
    </r>
  </si>
  <si>
    <r>
      <rPr>
        <sz val="9"/>
        <color rgb="FF000000"/>
        <rFont val="Verdana"/>
        <family val="2"/>
      </rPr>
      <t>Number of people with improved climate resilience [ICF4]/</t>
    </r>
    <r>
      <rPr>
        <sz val="9"/>
        <color rgb="FFFF0000"/>
        <rFont val="Verdana"/>
        <family val="2"/>
      </rPr>
      <t>Number of facilities with improved climate resilience</t>
    </r>
  </si>
  <si>
    <r>
      <rPr>
        <sz val="9"/>
        <color rgb="FF000000"/>
        <rFont val="Verdana"/>
        <family val="2"/>
      </rPr>
      <t>Number of antenatal clients seen for the 1st visit before 12 weeks of pregnancy/</t>
    </r>
    <r>
      <rPr>
        <sz val="9"/>
        <color rgb="FFFF0000"/>
        <rFont val="Verdana"/>
        <family val="2"/>
      </rPr>
      <t>"Antenatal Client 1st visit
- before 12 weeks"</t>
    </r>
  </si>
  <si>
    <t>Antenatal Client 1st visit before 12 weeks  in the catchment areas of Better Lives supported facilities</t>
  </si>
  <si>
    <r>
      <t>Number of deliveries assisted by skilled birth attendants at Better Lives supported health facilities/</t>
    </r>
    <r>
      <rPr>
        <sz val="9"/>
        <color rgb="FFFF0000"/>
        <rFont val="Verdana"/>
        <family val="2"/>
      </rPr>
      <t xml:space="preserve">Delivery by Skilled birth attendant </t>
    </r>
  </si>
  <si>
    <r>
      <rPr>
        <sz val="9"/>
        <color rgb="FF000000"/>
        <rFont val="Verdana"/>
        <family val="2"/>
      </rPr>
      <t>Dropout rate between infants receiving the 1st dose (penta 1) of pentavalent vaccine and the 3rd dose (penta 3)/</t>
    </r>
    <r>
      <rPr>
        <sz val="9"/>
        <color rgb="FFFF0000"/>
        <rFont val="Verdana"/>
        <family val="2"/>
      </rPr>
      <t>Dropout rate Pentavalant 1st dose to Pentavalent 3rd dose</t>
    </r>
  </si>
  <si>
    <r>
      <rPr>
        <sz val="9"/>
        <color rgb="FF000000"/>
        <rFont val="Verdana"/>
        <family val="2"/>
      </rPr>
      <t>Number of children (0-59 months) with diarrhoea treated with oral rehydration solution (ORS) and Zinc sulphate, disaggregated by age and gender/</t>
    </r>
    <r>
      <rPr>
        <sz val="9"/>
        <color rgb="FFFF0000"/>
        <rFont val="Verdana"/>
        <family val="2"/>
      </rPr>
      <t>Number of Diarrhoea treatment of (0-59 Children) with ORS + Zinc</t>
    </r>
  </si>
  <si>
    <r>
      <rPr>
        <sz val="9"/>
        <color rgb="FF000000"/>
        <rFont val="Verdana"/>
        <family val="2"/>
      </rPr>
      <t>Proportion of facilities that report essential tracer medicine stockouts/</t>
    </r>
    <r>
      <rPr>
        <sz val="9"/>
        <color rgb="FFFF0000"/>
        <rFont val="Verdana"/>
        <family val="2"/>
      </rPr>
      <t xml:space="preserve">Proportion of health facilities with at least 80% availability of selected tracer medicines and medical supplies </t>
    </r>
  </si>
  <si>
    <t>6.1</t>
  </si>
  <si>
    <t>Percentage of energy requirements of all supported health care facilities that are met by electricity generated from renewable (solar) energy source</t>
  </si>
  <si>
    <t>6.2</t>
  </si>
  <si>
    <t xml:space="preserve">Outcome indicator to reflect climate change resilience objective. Improved resilience (outcome) should lead to improved health and nutrition status (impact), so no additional impact indicator required.
This indicator to be further defined. </t>
  </si>
  <si>
    <t>This is a new indicator added to ensure reportign against staffing</t>
  </si>
  <si>
    <t>New Indicator included</t>
  </si>
  <si>
    <t>BETTER LIVES FOR SOMALI WOMEN AND CHILDREN LOGICAL FRAMEWORK - APRIL 2024 - MARCH 2026</t>
  </si>
  <si>
    <r>
      <rPr>
        <sz val="9"/>
        <color rgb="FF000000"/>
        <rFont val="Arial"/>
        <family val="2"/>
      </rPr>
      <t>Maternal mortality ratio/</t>
    </r>
    <r>
      <rPr>
        <sz val="9"/>
        <color rgb="FFFF0000"/>
        <rFont val="Arial"/>
        <family val="2"/>
      </rPr>
      <t>Institutional Maternal mortality ration</t>
    </r>
  </si>
  <si>
    <t>UNICEF Not reporting on the Impact indicators but will be monitored nationally by the Government with support from various stakeholders</t>
  </si>
  <si>
    <r>
      <rPr>
        <sz val="9"/>
        <color rgb="FF000000"/>
        <rFont val="Arial"/>
        <family val="2"/>
      </rPr>
      <t>Under five mortality rate/</t>
    </r>
    <r>
      <rPr>
        <sz val="9"/>
        <color rgb="FFFF0000"/>
        <rFont val="Arial"/>
        <family val="2"/>
      </rPr>
      <t>Institutional Child Mortality Rate in Facility</t>
    </r>
  </si>
  <si>
    <t>Target (National )-
EOP 2026 (Original upto Sep 2026)</t>
  </si>
  <si>
    <t>Revised Target (National) EOP2026 based on early closure- March 2026</t>
  </si>
  <si>
    <t>Review Period (Milestone 3 and Milestone 4)
(April 2025 - March 2026)</t>
  </si>
  <si>
    <t>This indicator was dependent on UNFPA performance on availability of supplies. However, eratic supplies, we suggest to revise target given the challenge of supplies, absence of demand creation support and the calculation methodology. Suggested new target of 1.5</t>
  </si>
  <si>
    <t>EOP target updated to align with early program closure of March 2026</t>
  </si>
  <si>
    <t xml:space="preserve">
Number of people served by health facilities with improved access to clean energy (ICF2) 
</t>
  </si>
  <si>
    <t> FP supplies was inconsistent from UNFPA including expiry of supplies compounded by low HF reporting. DHIS2 does not capture counseling on family planning. and indicator to be reported in respective of FP supply availability</t>
  </si>
  <si>
    <t>This indicator has being errorously calculated using District catchment population as opposed to using Better lives catchment population. For the last milestone we  propose to revise the target using the Better lives health facility catchment population. Our baseline and target set for this indicator are way above the better lives health catchment population. Hence, the reason for perceived under performance</t>
  </si>
  <si>
    <t>Program reports/ Training reports/Supervison visits reports or assessment reports</t>
  </si>
  <si>
    <t xml:space="preserve">EOP target updated to align with early program closure of March 2026. This indicator was going to be affected if the incidence of  diarrhea changes. Now the number of diarrhea cases have signifacantly dropped in the country because of  introduction of Rota  vaccines in Somalia. </t>
  </si>
  <si>
    <t>EOP target updated to align with early program closure of March 2026. This indicator was going to be affected if the incidence of pneumonia changes. Now the number of pneumonia cases have signifacantly dropped in the country because of introduction of PCV vaccines in Somalia.</t>
  </si>
  <si>
    <t>IMPACT WEIGHTING (%)</t>
  </si>
  <si>
    <t>Output Indicator 3.3</t>
  </si>
  <si>
    <t>to check from the TPM report of the MEL partner</t>
  </si>
  <si>
    <t>OUTPUT 6</t>
  </si>
  <si>
    <t>Indicator 6.1: 
1. The number of people reached through community outreach education sessions to raise climate awareness and health protection
2. Number of HCWs trained on management of climate sensitive disease management</t>
  </si>
  <si>
    <t>Output Indicator 6.2</t>
  </si>
  <si>
    <t>Target (date)</t>
  </si>
  <si>
    <r>
      <rPr>
        <sz val="9"/>
        <color rgb="FF000000"/>
        <rFont val="Arial"/>
        <family val="2"/>
      </rPr>
      <t xml:space="preserve">Severe Acute Malnutrition Rate/ – </t>
    </r>
    <r>
      <rPr>
        <sz val="9"/>
        <color rgb="FFFF0000"/>
        <rFont val="Arial"/>
        <family val="2"/>
      </rPr>
      <t>proportion of discharged children who recovered from SAM treatment in OTP/SC</t>
    </r>
  </si>
  <si>
    <t>Target (National )</t>
  </si>
  <si>
    <t>Target (BRA )</t>
  </si>
  <si>
    <t>Target (Gedo )</t>
  </si>
  <si>
    <t>Target (Galgadud )</t>
  </si>
  <si>
    <t>Target (Galmudug )</t>
  </si>
  <si>
    <t>Target (Awdal )</t>
  </si>
  <si>
    <t>Target (Togdher )</t>
  </si>
  <si>
    <r>
      <rPr>
        <b/>
        <u/>
        <sz val="11"/>
        <rFont val="Calibri"/>
        <family val="2"/>
      </rPr>
      <t>OUTCOME B</t>
    </r>
    <r>
      <rPr>
        <sz val="11"/>
        <rFont val="Calibri"/>
        <family val="2"/>
      </rPr>
      <t>: Improve climate resilience of health system</t>
    </r>
  </si>
  <si>
    <t>Other (£)</t>
  </si>
  <si>
    <t>Total (£)</t>
  </si>
  <si>
    <t>FCDO SHARE (%)</t>
  </si>
  <si>
    <t>Target (Mudug )</t>
  </si>
  <si>
    <t xml:space="preserve">Target (date) </t>
  </si>
  <si>
    <t>Target (mudug )</t>
  </si>
  <si>
    <t>4.5%</t>
  </si>
  <si>
    <t>8.1%</t>
  </si>
  <si>
    <t>6 Month target</t>
  </si>
  <si>
    <t>4 Month target</t>
  </si>
  <si>
    <t>Which DHIS is it on?</t>
  </si>
  <si>
    <t>Facility name as written in DHIS</t>
  </si>
  <si>
    <t>Facility ID in DHIS</t>
  </si>
  <si>
    <t>Somaliland</t>
  </si>
  <si>
    <t>Central Health Center</t>
  </si>
  <si>
    <t>jW6gcJZatu6</t>
  </si>
  <si>
    <t>Shifo Health Center</t>
  </si>
  <si>
    <t>IUIy79ZDotY</t>
  </si>
  <si>
    <t>Sheed dheer Health Center</t>
  </si>
  <si>
    <t>zRlHrNitU0S</t>
  </si>
  <si>
    <t>Qoor gaab Health Center</t>
  </si>
  <si>
    <t>vZ4FTEQ8xLN</t>
  </si>
  <si>
    <t>Sh.Ali Jawhar Health Center</t>
  </si>
  <si>
    <t>YLvSgq6Zqwf</t>
  </si>
  <si>
    <t>Sh.Osman Health Center</t>
  </si>
  <si>
    <t>VQO6G59yrsm</t>
  </si>
  <si>
    <t>Borama Regional hospital</t>
  </si>
  <si>
    <t>JdYES5fMiCX</t>
  </si>
  <si>
    <t>Idhanka Health Center</t>
  </si>
  <si>
    <t>GUUAQ7nUUQU</t>
  </si>
  <si>
    <t>Qulujeed Health Center</t>
  </si>
  <si>
    <t>s1mi2YQnp0Q</t>
  </si>
  <si>
    <t>Boon Health Center</t>
  </si>
  <si>
    <t>bqRX7kYNWQj</t>
  </si>
  <si>
    <t>Harirad Health Center</t>
  </si>
  <si>
    <t>HW62PiBz06v</t>
  </si>
  <si>
    <t>A/Kadir Health Center</t>
  </si>
  <si>
    <t>lV5YOvOBkcI</t>
  </si>
  <si>
    <t>Jidhi Health Center</t>
  </si>
  <si>
    <t>ved8ImzzL1y</t>
  </si>
  <si>
    <t>Fiki-Adan Health Center</t>
  </si>
  <si>
    <t>g6xb6s8S1K4</t>
  </si>
  <si>
    <t>Zeilla District Hospital</t>
  </si>
  <si>
    <t>myIycr6MkPa</t>
  </si>
  <si>
    <t>Lawya'ado Health Center</t>
  </si>
  <si>
    <t>fYuxLhfDQ1M</t>
  </si>
  <si>
    <t>Nb83gww7Pre</t>
  </si>
  <si>
    <t>Dm2LA3waxLT</t>
  </si>
  <si>
    <t>UQzRJ0empYu</t>
  </si>
  <si>
    <t>huXsTYln6cq</t>
  </si>
  <si>
    <t>Caqil yare Health Center</t>
  </si>
  <si>
    <t>LAomJWEvp2X</t>
  </si>
  <si>
    <t>vUI7iewtlYv</t>
  </si>
  <si>
    <t>dn6L1d7O7tF</t>
  </si>
  <si>
    <t>xhpUIhtvTIF</t>
  </si>
  <si>
    <t>cuZmN0Q1JBp</t>
  </si>
  <si>
    <t>khyvR4rLJT3</t>
  </si>
  <si>
    <t>BV2g8eBclC9</t>
  </si>
  <si>
    <t>vNoclzIz0Jz</t>
  </si>
  <si>
    <t>Kosar Health Center 1</t>
  </si>
  <si>
    <t>Mv4uQn2rAu7</t>
  </si>
  <si>
    <t>Nasiye Health center</t>
  </si>
  <si>
    <t>ppbYS8RGM4I</t>
  </si>
  <si>
    <t>xEYT6v2xgE2</t>
  </si>
  <si>
    <t>IMi0SRMr5z8</t>
  </si>
  <si>
    <t>oWzD0YV4GOM</t>
  </si>
  <si>
    <t>URmyHn3TLnK</t>
  </si>
  <si>
    <t>aHFBnFWVzEB</t>
  </si>
  <si>
    <t>Abdi Farah Health Center</t>
  </si>
  <si>
    <t>wIuFp4960m4</t>
  </si>
  <si>
    <t>Haji Salah Health Center 1</t>
  </si>
  <si>
    <t>LoNtaqLjVEz</t>
  </si>
  <si>
    <t>Jameecaad Health center</t>
  </si>
  <si>
    <t>tXUJLKdmx5O</t>
  </si>
  <si>
    <t>JJChpMRgY4J</t>
  </si>
  <si>
    <t>Mst7HakOjVT</t>
  </si>
  <si>
    <t>Somalia</t>
  </si>
  <si>
    <t>Beled Hawo District Hospital</t>
  </si>
  <si>
    <t>dvrwurXKhl6</t>
  </si>
  <si>
    <t>Beled Hawo Health Center</t>
  </si>
  <si>
    <t>ZCQGfXma4nI</t>
  </si>
  <si>
    <t>Beled Hawo Outreach / Mobile Health Clinic</t>
  </si>
  <si>
    <t>VJgDk9zMAp0</t>
  </si>
  <si>
    <t>Beled Aamin Primary Health Unit</t>
  </si>
  <si>
    <t>uHbomKIEBZq</t>
  </si>
  <si>
    <t>EqjpCjxW3ga</t>
  </si>
  <si>
    <t>Gedweyne Health Center</t>
  </si>
  <si>
    <t>WadvkWVNgHc</t>
  </si>
  <si>
    <t>Dollow Outreach / Mobile Health Clinic</t>
  </si>
  <si>
    <t>Eu0vkuK7a5L</t>
  </si>
  <si>
    <t>Garbaharey District Hospital</t>
  </si>
  <si>
    <t>qHC6PLR5XPK</t>
  </si>
  <si>
    <t>Garbaharey Health Center</t>
  </si>
  <si>
    <t>agmqwOKPaNp</t>
  </si>
  <si>
    <t>Garbaharey Outreach / Mobile Health Clinic</t>
  </si>
  <si>
    <t>QJXAvdIsDI3</t>
  </si>
  <si>
    <t>gDpM9P5mYnB</t>
  </si>
  <si>
    <t>Akara Health Center</t>
  </si>
  <si>
    <t>VVO9zIHjc0V</t>
  </si>
  <si>
    <t>Cusbo Health Center</t>
  </si>
  <si>
    <t>kYkRwImzP2c</t>
  </si>
  <si>
    <t>Luuq Outreach / Mobile Health Clinic</t>
  </si>
  <si>
    <t>zQVbkXV2kL5</t>
  </si>
  <si>
    <t>Abow Primary Health Unit</t>
  </si>
  <si>
    <t>abNq43enlkK</t>
  </si>
  <si>
    <t>Shangani District Hospital</t>
  </si>
  <si>
    <t>hoSQ06YPOnW</t>
  </si>
  <si>
    <t>Deynile District  Hospital</t>
  </si>
  <si>
    <t>kS88oUmMUQ9</t>
  </si>
  <si>
    <t>Issa Abdi Health Center</t>
  </si>
  <si>
    <t>O4Yi63MDbxL</t>
  </si>
  <si>
    <t>Kulmiye Health Center</t>
  </si>
  <si>
    <t>UeZVAipcXAK</t>
  </si>
  <si>
    <t>Foorilow Health Center</t>
  </si>
  <si>
    <t>WAVAFTCC4Cp</t>
  </si>
  <si>
    <t>Hodan Health Center</t>
  </si>
  <si>
    <t>Aa8qnH1mMNJ</t>
  </si>
  <si>
    <t>October Health Center</t>
  </si>
  <si>
    <t>UgYJk3AM5vd</t>
  </si>
  <si>
    <t>Dayax District Hospital</t>
  </si>
  <si>
    <t>nHan1hit1o1</t>
  </si>
  <si>
    <t>Isterlin Community Hospital</t>
  </si>
  <si>
    <t>zOyQEVvKcga</t>
  </si>
  <si>
    <t>Bohol Health Center</t>
  </si>
  <si>
    <t>iEb3fUgi7Lv</t>
  </si>
  <si>
    <t>Marergur Health Center</t>
  </si>
  <si>
    <t>I4RoU6cKqEE</t>
  </si>
  <si>
    <t>Gadoon Health Center</t>
  </si>
  <si>
    <t>v54qC3weGGB</t>
  </si>
  <si>
    <t>Eeldheere Health Center</t>
  </si>
  <si>
    <t>mxcQKWMondy</t>
  </si>
  <si>
    <t>Faragoye Health center</t>
  </si>
  <si>
    <t>XT6aNilJxps</t>
  </si>
  <si>
    <t>Hobyo Health Center</t>
  </si>
  <si>
    <t>oHbzctjkJ9I</t>
  </si>
  <si>
    <t>Wasil Health Center</t>
  </si>
  <si>
    <t>jPIgqMpvYia</t>
  </si>
  <si>
    <t>Ceelguula Health Center 1</t>
  </si>
  <si>
    <t>crp4fxrwZod</t>
  </si>
  <si>
    <t>Ceeldibir Health Center</t>
  </si>
  <si>
    <t>F3QNPqfVZB3</t>
  </si>
  <si>
    <t>Gawaan Health Center</t>
  </si>
  <si>
    <t>pYbStV4ZXiO</t>
  </si>
  <si>
    <t>Bud-Bud Health Center</t>
  </si>
  <si>
    <t>Xg02qEnj3DE</t>
  </si>
  <si>
    <t>Xero Dhegaxleey Health Center</t>
  </si>
  <si>
    <t>XE1U7zdJThK</t>
  </si>
  <si>
    <t>Bajeela Health Center</t>
  </si>
  <si>
    <t>IGpLtjZ7oEh</t>
  </si>
  <si>
    <t>Qaran Roow Health Center</t>
  </si>
  <si>
    <t>Ubs8ZBtEx7N</t>
  </si>
  <si>
    <t xml:space="preserve">                                     -  </t>
  </si>
  <si>
    <t>Not in DHIS2</t>
  </si>
  <si>
    <t>Abudwak District Hospital</t>
  </si>
  <si>
    <t>hMsUmuuuV8S</t>
  </si>
  <si>
    <t>Dhabad  Health Center 2</t>
  </si>
  <si>
    <t>jTGnCdaK6fR</t>
  </si>
  <si>
    <t>Waabari Health Center</t>
  </si>
  <si>
    <t>Bd28HuKEafC</t>
  </si>
  <si>
    <t>Bangele Health Center</t>
  </si>
  <si>
    <t>WMGuEbGXs9P</t>
  </si>
  <si>
    <t>Balanbale District Hospital</t>
  </si>
  <si>
    <t>qcYctEbdlcc</t>
  </si>
  <si>
    <t>Elasha Health Center</t>
  </si>
  <si>
    <t>tbFtk8inhQN</t>
  </si>
  <si>
    <t>Turbi Health Center</t>
  </si>
  <si>
    <t>jOIE1BZxAUf</t>
  </si>
  <si>
    <t>Barwaqo Health Center</t>
  </si>
  <si>
    <t>FwpchPHxTuI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</si>
</sst>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00"/>
    <numFmt numFmtId="167" formatCode="_-* #,##0_-;\-* #,##0_-;_-* &quot;-&quot;??_-;_-@_-"/>
    <numFmt numFmtId="168" formatCode="_(* #,##0.0_);_(* \(#,##0.0\);_(* &quot;-&quot;??_);_(@_)"/>
    <numFmt numFmtId="169" formatCode="_(* #,##0_);_(* \(#,##0\);_(* &quot;-&quot;??_);_(@_)"/>
    <numFmt numFmtId="170" formatCode="0.0000"/>
  </numFmts>
  <fonts count="73">
    <font>
      <sz val="10"/>
      <name val="Arial"/>
    </font>
    <font>
      <sz val="11"/>
      <color theme="1"/>
      <name val="Calibri"/>
      <family val="2"/>
      <scheme val="minor"/>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sz val="11"/>
      <name val="Calibri"/>
      <family val="2"/>
    </font>
    <font>
      <u/>
      <sz val="11"/>
      <name val="Calibri"/>
      <family val="2"/>
    </font>
    <font>
      <b/>
      <sz val="11"/>
      <name val="Calibri"/>
      <family val="2"/>
    </font>
    <font>
      <b/>
      <u/>
      <sz val="11"/>
      <name val="Calibri"/>
      <family val="2"/>
    </font>
    <font>
      <b/>
      <i/>
      <sz val="10"/>
      <name val="Arial"/>
      <family val="2"/>
    </font>
    <font>
      <vertAlign val="superscript"/>
      <sz val="11"/>
      <name val="Calibri"/>
      <family val="2"/>
    </font>
    <font>
      <sz val="10"/>
      <color rgb="FF0B1F51"/>
      <name val="Arial"/>
      <family val="2"/>
    </font>
    <font>
      <i/>
      <sz val="11"/>
      <name val="Calibri"/>
      <family val="2"/>
    </font>
    <font>
      <sz val="11"/>
      <color rgb="FF00B0F0"/>
      <name val="Calibri"/>
      <family val="2"/>
    </font>
    <font>
      <b/>
      <u/>
      <sz val="14"/>
      <color theme="10"/>
      <name val="Arial"/>
      <family val="2"/>
    </font>
    <font>
      <sz val="9"/>
      <color rgb="FFFF0000"/>
      <name val="Arial"/>
      <family val="2"/>
    </font>
    <font>
      <sz val="9"/>
      <color rgb="FF000000"/>
      <name val="Arial"/>
      <family val="2"/>
    </font>
    <font>
      <b/>
      <sz val="9"/>
      <color rgb="FF000000"/>
      <name val="Verdana"/>
      <family val="2"/>
    </font>
    <font>
      <b/>
      <sz val="9"/>
      <color theme="1"/>
      <name val="Calibri"/>
      <family val="2"/>
      <scheme val="minor"/>
    </font>
    <font>
      <sz val="9"/>
      <color theme="1"/>
      <name val="Calibri"/>
      <family val="2"/>
      <scheme val="minor"/>
    </font>
    <font>
      <b/>
      <sz val="9"/>
      <name val="Verdana"/>
      <family val="2"/>
    </font>
    <font>
      <sz val="9"/>
      <name val="Verdana"/>
      <family val="2"/>
    </font>
    <font>
      <sz val="9"/>
      <color rgb="FF000000"/>
      <name val="Verdana"/>
      <family val="2"/>
    </font>
    <font>
      <sz val="9"/>
      <color rgb="FFFF0000"/>
      <name val="Verdana"/>
      <family val="2"/>
    </font>
    <font>
      <vertAlign val="superscript"/>
      <sz val="9"/>
      <color rgb="FF000000"/>
      <name val="Verdana"/>
      <family val="2"/>
    </font>
    <font>
      <sz val="9"/>
      <color rgb="FFFF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i/>
      <sz val="9"/>
      <color theme="1"/>
      <name val="Verdana"/>
      <family val="2"/>
    </font>
    <font>
      <sz val="9"/>
      <color theme="1"/>
      <name val="Verdana"/>
      <family val="2"/>
    </font>
    <font>
      <sz val="9"/>
      <color rgb="FF00B0F0"/>
      <name val="Verdana"/>
      <family val="2"/>
    </font>
    <font>
      <i/>
      <sz val="9"/>
      <color rgb="FF000000"/>
      <name val="Verdana"/>
      <family val="2"/>
    </font>
    <font>
      <sz val="10"/>
      <color theme="1"/>
      <name val="Calibri"/>
      <family val="2"/>
      <scheme val="minor"/>
    </font>
    <font>
      <sz val="11"/>
      <name val="Aptos"/>
      <family val="2"/>
      <charset val="1"/>
    </font>
    <font>
      <sz val="11"/>
      <color rgb="FFFF0000"/>
      <name val="Calibri"/>
      <family val="2"/>
    </font>
    <font>
      <b/>
      <sz val="9"/>
      <color theme="1"/>
      <name val="Arial"/>
      <family val="2"/>
    </font>
    <font>
      <sz val="9"/>
      <color theme="1"/>
      <name val="Arial"/>
      <family val="2"/>
    </font>
    <font>
      <sz val="10"/>
      <name val="Arial"/>
      <family val="2"/>
    </font>
    <font>
      <sz val="12"/>
      <color theme="1"/>
      <name val="Calibri"/>
      <family val="2"/>
      <scheme val="minor"/>
    </font>
    <font>
      <b/>
      <sz val="14"/>
      <color theme="1"/>
      <name val="Calibri"/>
      <family val="2"/>
      <scheme val="minor"/>
    </font>
    <font>
      <b/>
      <sz val="12"/>
      <color theme="1"/>
      <name val="Calibri"/>
      <family val="2"/>
      <scheme val="minor"/>
    </font>
    <font>
      <b/>
      <sz val="9"/>
      <color rgb="FF000000"/>
      <name val="Arial"/>
      <family val="2"/>
    </font>
    <font>
      <b/>
      <sz val="9"/>
      <color rgb="FFFF0000"/>
      <name val="Arial"/>
      <family val="2"/>
    </font>
    <font>
      <sz val="12"/>
      <color rgb="FF000000"/>
      <name val="Aptos Narrow"/>
      <family val="2"/>
    </font>
    <font>
      <b/>
      <sz val="14"/>
      <color rgb="FF000000"/>
      <name val="Aptos Narrow"/>
      <family val="2"/>
    </font>
    <font>
      <b/>
      <sz val="12"/>
      <color rgb="FF000000"/>
      <name val="Aptos Narrow"/>
      <family val="2"/>
    </font>
    <font>
      <b/>
      <u/>
      <sz val="11"/>
      <name val="Arial"/>
      <family val="2"/>
    </font>
    <font>
      <sz val="11"/>
      <color rgb="FFFF0000"/>
      <name val="Arial"/>
      <family val="2"/>
    </font>
    <font>
      <b/>
      <i/>
      <sz val="11"/>
      <name val="Arial"/>
      <family val="2"/>
    </font>
    <font>
      <i/>
      <sz val="11"/>
      <name val="Arial"/>
      <family val="2"/>
    </font>
    <font>
      <b/>
      <sz val="11"/>
      <color rgb="FF000000"/>
      <name val="Arial"/>
      <family val="2"/>
    </font>
    <font>
      <sz val="11"/>
      <color rgb="FF000000"/>
      <name val="Arial"/>
      <family val="2"/>
    </font>
    <font>
      <b/>
      <u/>
      <sz val="14"/>
      <name val="Arial"/>
      <family val="2"/>
    </font>
    <font>
      <vertAlign val="superscript"/>
      <sz val="9"/>
      <name val="Verdana"/>
      <family val="2"/>
    </font>
    <font>
      <sz val="9"/>
      <name val="Calibri"/>
      <family val="2"/>
      <scheme val="minor"/>
    </font>
  </fonts>
  <fills count="30">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00B0F0"/>
        <bgColor rgb="FF000000"/>
      </patternFill>
    </fill>
    <fill>
      <patternFill patternType="solid">
        <fgColor rgb="FF00B0F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5050"/>
        <bgColor indexed="64"/>
      </patternFill>
    </fill>
    <fill>
      <patternFill patternType="solid">
        <fgColor rgb="FFFFC000"/>
        <bgColor rgb="FF000000"/>
      </patternFill>
    </fill>
    <fill>
      <patternFill patternType="solid">
        <fgColor rgb="FFCAEDFB"/>
        <bgColor rgb="FF000000"/>
      </patternFill>
    </fill>
    <fill>
      <patternFill patternType="solid">
        <fgColor rgb="FF92D050"/>
        <bgColor rgb="FF000000"/>
      </patternFill>
    </fill>
    <fill>
      <patternFill patternType="solid">
        <fgColor rgb="FFFFFF00"/>
        <bgColor rgb="FF000000"/>
      </patternFill>
    </fill>
    <fill>
      <patternFill patternType="solid">
        <fgColor rgb="FFFF5050"/>
        <bgColor rgb="FF000000"/>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249977111117893"/>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s>
  <cellStyleXfs count="7">
    <xf numFmtId="0" fontId="0" fillId="0" borderId="0"/>
    <xf numFmtId="0" fontId="8" fillId="0" borderId="0" applyNumberFormat="0" applyFill="0" applyBorder="0" applyAlignment="0" applyProtection="0"/>
    <xf numFmtId="0" fontId="5" fillId="0" borderId="0"/>
    <xf numFmtId="164" fontId="55" fillId="0" borderId="0" applyFont="0" applyFill="0" applyBorder="0" applyAlignment="0" applyProtection="0"/>
    <xf numFmtId="9" fontId="55" fillId="0" borderId="0" applyFont="0" applyFill="0" applyBorder="0" applyAlignment="0" applyProtection="0"/>
    <xf numFmtId="0" fontId="1" fillId="0" borderId="0"/>
    <xf numFmtId="164" fontId="1" fillId="0" borderId="0" applyFont="0" applyFill="0" applyBorder="0" applyAlignment="0" applyProtection="0"/>
  </cellStyleXfs>
  <cellXfs count="478">
    <xf numFmtId="0" fontId="0" fillId="0" borderId="0" xfId="0"/>
    <xf numFmtId="0" fontId="0" fillId="0" borderId="0" xfId="0" applyAlignment="1">
      <alignment horizontal="center"/>
    </xf>
    <xf numFmtId="0" fontId="18" fillId="0" borderId="0" xfId="0" applyFont="1"/>
    <xf numFmtId="0" fontId="0" fillId="0" borderId="0" xfId="0" applyAlignment="1">
      <alignment wrapText="1"/>
    </xf>
    <xf numFmtId="0" fontId="8" fillId="0" borderId="0" xfId="1" applyFill="1" applyBorder="1" applyAlignment="1"/>
    <xf numFmtId="0" fontId="20" fillId="0" borderId="0" xfId="0" applyFont="1"/>
    <xf numFmtId="0" fontId="7" fillId="0" borderId="0" xfId="0" applyFont="1"/>
    <xf numFmtId="0" fontId="2" fillId="2" borderId="1" xfId="0" applyFont="1" applyFill="1" applyBorder="1" applyAlignment="1">
      <alignment wrapText="1"/>
    </xf>
    <xf numFmtId="0" fontId="2" fillId="3" borderId="2" xfId="0" applyFont="1" applyFill="1" applyBorder="1" applyAlignment="1">
      <alignment wrapText="1"/>
    </xf>
    <xf numFmtId="0" fontId="2" fillId="2" borderId="3" xfId="0" applyFont="1" applyFill="1" applyBorder="1" applyAlignment="1">
      <alignment wrapText="1"/>
    </xf>
    <xf numFmtId="0" fontId="2" fillId="4" borderId="3" xfId="0" applyFont="1" applyFill="1" applyBorder="1" applyAlignment="1">
      <alignment wrapText="1"/>
    </xf>
    <xf numFmtId="0" fontId="2" fillId="0" borderId="3" xfId="0" applyFont="1" applyBorder="1" applyAlignment="1">
      <alignment wrapText="1"/>
    </xf>
    <xf numFmtId="0" fontId="3" fillId="0" borderId="3" xfId="0" applyFont="1" applyBorder="1" applyAlignment="1">
      <alignment wrapText="1"/>
    </xf>
    <xf numFmtId="0" fontId="3" fillId="7" borderId="3" xfId="0" applyFont="1" applyFill="1" applyBorder="1" applyAlignment="1">
      <alignment wrapText="1"/>
    </xf>
    <xf numFmtId="0" fontId="3" fillId="0" borderId="0" xfId="0" applyFont="1" applyAlignment="1">
      <alignment wrapText="1"/>
    </xf>
    <xf numFmtId="0" fontId="3" fillId="6" borderId="3" xfId="0" applyFont="1" applyFill="1" applyBorder="1" applyAlignment="1">
      <alignment wrapText="1"/>
    </xf>
    <xf numFmtId="0" fontId="3" fillId="0" borderId="7" xfId="0" applyFont="1" applyBorder="1" applyAlignment="1">
      <alignment wrapText="1"/>
    </xf>
    <xf numFmtId="0" fontId="3" fillId="0" borderId="11" xfId="0" applyFont="1" applyBorder="1" applyAlignment="1">
      <alignment wrapText="1"/>
    </xf>
    <xf numFmtId="0" fontId="2" fillId="0" borderId="0" xfId="0" applyFont="1" applyAlignment="1">
      <alignment wrapText="1"/>
    </xf>
    <xf numFmtId="0" fontId="2" fillId="3" borderId="1" xfId="0" applyFont="1" applyFill="1" applyBorder="1" applyAlignment="1">
      <alignment wrapText="1"/>
    </xf>
    <xf numFmtId="0" fontId="2" fillId="2" borderId="6" xfId="0" applyFont="1" applyFill="1" applyBorder="1" applyAlignment="1">
      <alignment wrapText="1"/>
    </xf>
    <xf numFmtId="0" fontId="2" fillId="4" borderId="6" xfId="0" applyFont="1" applyFill="1" applyBorder="1" applyAlignment="1">
      <alignment wrapText="1"/>
    </xf>
    <xf numFmtId="0" fontId="2" fillId="7" borderId="3" xfId="0" applyFont="1" applyFill="1" applyBorder="1" applyAlignment="1">
      <alignment wrapText="1"/>
    </xf>
    <xf numFmtId="0" fontId="2" fillId="0" borderId="7" xfId="0" applyFont="1" applyBorder="1" applyAlignment="1">
      <alignment wrapText="1"/>
    </xf>
    <xf numFmtId="0" fontId="2" fillId="0" borderId="6" xfId="0" applyFont="1" applyBorder="1" applyAlignment="1">
      <alignment wrapText="1"/>
    </xf>
    <xf numFmtId="0" fontId="2" fillId="0" borderId="8" xfId="0" applyFont="1" applyBorder="1" applyAlignment="1">
      <alignment wrapText="1"/>
    </xf>
    <xf numFmtId="0" fontId="3" fillId="7" borderId="7" xfId="0" applyFont="1" applyFill="1" applyBorder="1" applyAlignment="1">
      <alignment wrapText="1"/>
    </xf>
    <xf numFmtId="0" fontId="3" fillId="0" borderId="2" xfId="0" applyFont="1" applyBorder="1" applyAlignment="1">
      <alignment wrapText="1"/>
    </xf>
    <xf numFmtId="0" fontId="21" fillId="9" borderId="13" xfId="0" applyFont="1" applyFill="1" applyBorder="1"/>
    <xf numFmtId="0" fontId="21" fillId="9" borderId="21" xfId="0" applyFont="1" applyFill="1" applyBorder="1"/>
    <xf numFmtId="0" fontId="21" fillId="9" borderId="21" xfId="0" applyFont="1" applyFill="1" applyBorder="1" applyAlignment="1">
      <alignment wrapText="1"/>
    </xf>
    <xf numFmtId="0" fontId="18" fillId="10" borderId="22" xfId="0" applyFont="1" applyFill="1" applyBorder="1"/>
    <xf numFmtId="0" fontId="18" fillId="10" borderId="23" xfId="0" applyFont="1" applyFill="1" applyBorder="1"/>
    <xf numFmtId="0" fontId="18" fillId="10" borderId="23" xfId="0" applyFont="1" applyFill="1" applyBorder="1" applyAlignment="1">
      <alignment wrapText="1"/>
    </xf>
    <xf numFmtId="14" fontId="18" fillId="10" borderId="23" xfId="0" applyNumberFormat="1" applyFont="1" applyFill="1" applyBorder="1"/>
    <xf numFmtId="0" fontId="0" fillId="0" borderId="22" xfId="0" applyBorder="1"/>
    <xf numFmtId="0" fontId="0" fillId="0" borderId="23" xfId="0" applyBorder="1"/>
    <xf numFmtId="0" fontId="9" fillId="0" borderId="0" xfId="0" applyFont="1"/>
    <xf numFmtId="0" fontId="5" fillId="0" borderId="0" xfId="0" applyFont="1"/>
    <xf numFmtId="0" fontId="5" fillId="10" borderId="0" xfId="0" applyFont="1" applyFill="1" applyAlignment="1">
      <alignment wrapText="1"/>
    </xf>
    <xf numFmtId="0" fontId="10" fillId="10" borderId="0" xfId="0" applyFont="1" applyFill="1" applyAlignment="1">
      <alignment wrapText="1"/>
    </xf>
    <xf numFmtId="0" fontId="12" fillId="10" borderId="0" xfId="0" applyFont="1" applyFill="1" applyAlignment="1">
      <alignment wrapText="1"/>
    </xf>
    <xf numFmtId="0" fontId="16" fillId="10" borderId="0" xfId="0" applyFont="1" applyFill="1" applyAlignment="1">
      <alignment wrapText="1"/>
    </xf>
    <xf numFmtId="0" fontId="16" fillId="10" borderId="12" xfId="0" applyFont="1" applyFill="1" applyBorder="1" applyAlignment="1">
      <alignment wrapText="1"/>
    </xf>
    <xf numFmtId="0" fontId="5" fillId="10" borderId="12" xfId="0" applyFont="1" applyFill="1" applyBorder="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19" fillId="12" borderId="0" xfId="0" applyFont="1" applyFill="1"/>
    <xf numFmtId="0" fontId="2" fillId="2" borderId="2" xfId="0" applyFont="1" applyFill="1" applyBorder="1" applyAlignment="1">
      <alignment wrapText="1"/>
    </xf>
    <xf numFmtId="0" fontId="5" fillId="0" borderId="23" xfId="0" applyFont="1" applyBorder="1" applyAlignment="1">
      <alignment wrapText="1"/>
    </xf>
    <xf numFmtId="0" fontId="5" fillId="0" borderId="23" xfId="0" applyFont="1" applyBorder="1"/>
    <xf numFmtId="0" fontId="22" fillId="0" borderId="13" xfId="0" applyFont="1" applyBorder="1" applyAlignment="1">
      <alignment wrapText="1"/>
    </xf>
    <xf numFmtId="0" fontId="5" fillId="0" borderId="13" xfId="0" applyFont="1" applyBorder="1" applyAlignment="1">
      <alignment wrapText="1"/>
    </xf>
    <xf numFmtId="0" fontId="18" fillId="10" borderId="26" xfId="0" applyFont="1" applyFill="1" applyBorder="1" applyAlignment="1">
      <alignment wrapText="1"/>
    </xf>
    <xf numFmtId="0" fontId="22" fillId="0" borderId="1" xfId="0" applyFont="1" applyBorder="1" applyAlignment="1">
      <alignment vertical="center" wrapText="1"/>
    </xf>
    <xf numFmtId="0" fontId="18" fillId="10" borderId="27" xfId="0" applyFont="1" applyFill="1" applyBorder="1"/>
    <xf numFmtId="0" fontId="18" fillId="10" borderId="1" xfId="0" applyFont="1" applyFill="1" applyBorder="1" applyAlignment="1">
      <alignment wrapText="1"/>
    </xf>
    <xf numFmtId="14" fontId="0" fillId="0" borderId="23" xfId="0" applyNumberFormat="1" applyBorder="1"/>
    <xf numFmtId="0" fontId="5" fillId="0" borderId="23" xfId="0" applyFont="1" applyBorder="1" applyAlignment="1">
      <alignment vertical="top" wrapText="1"/>
    </xf>
    <xf numFmtId="0" fontId="5" fillId="0" borderId="13" xfId="0" applyFont="1" applyBorder="1" applyAlignment="1">
      <alignment horizontal="left" vertical="top" wrapText="1"/>
    </xf>
    <xf numFmtId="0" fontId="22" fillId="0" borderId="13" xfId="0" applyFont="1" applyBorder="1" applyAlignment="1">
      <alignment vertical="center" wrapText="1"/>
    </xf>
    <xf numFmtId="0" fontId="5" fillId="0" borderId="13" xfId="0" applyFont="1" applyBorder="1" applyAlignment="1">
      <alignment vertical="top" wrapText="1"/>
    </xf>
    <xf numFmtId="0" fontId="5" fillId="0" borderId="13" xfId="0" applyFont="1" applyBorder="1"/>
    <xf numFmtId="14" fontId="0" fillId="0" borderId="13" xfId="0" applyNumberFormat="1" applyBorder="1"/>
    <xf numFmtId="0" fontId="5" fillId="0" borderId="13" xfId="0" applyFont="1" applyBorder="1" applyAlignment="1">
      <alignment horizontal="left" wrapText="1"/>
    </xf>
    <xf numFmtId="0" fontId="22" fillId="0" borderId="29" xfId="0" applyFont="1" applyBorder="1" applyAlignment="1">
      <alignment wrapText="1"/>
    </xf>
    <xf numFmtId="0" fontId="5" fillId="0" borderId="29" xfId="0" applyFont="1" applyBorder="1" applyAlignment="1">
      <alignment horizontal="left" vertical="top" wrapText="1"/>
    </xf>
    <xf numFmtId="0" fontId="5" fillId="0" borderId="29" xfId="0" applyFont="1" applyBorder="1"/>
    <xf numFmtId="14" fontId="0" fillId="0" borderId="29" xfId="0" applyNumberFormat="1" applyBorder="1"/>
    <xf numFmtId="0" fontId="24" fillId="0" borderId="13" xfId="0" applyFont="1" applyBorder="1" applyAlignment="1">
      <alignment horizontal="left" vertical="top"/>
    </xf>
    <xf numFmtId="0" fontId="5" fillId="0" borderId="13" xfId="0" applyFont="1" applyBorder="1" applyAlignment="1">
      <alignment horizontal="left" vertical="top"/>
    </xf>
    <xf numFmtId="14" fontId="0" fillId="0" borderId="13" xfId="0" applyNumberFormat="1" applyBorder="1" applyAlignment="1">
      <alignment horizontal="left" vertical="top"/>
    </xf>
    <xf numFmtId="0" fontId="3" fillId="6" borderId="6" xfId="0" applyFont="1" applyFill="1" applyBorder="1" applyAlignment="1">
      <alignment wrapText="1"/>
    </xf>
    <xf numFmtId="0" fontId="22" fillId="0" borderId="13" xfId="0" applyFont="1" applyBorder="1" applyAlignment="1">
      <alignment horizontal="left" vertical="top" wrapText="1"/>
    </xf>
    <xf numFmtId="0" fontId="28" fillId="0" borderId="29" xfId="0" applyFont="1" applyBorder="1" applyAlignment="1">
      <alignment vertical="center" wrapText="1"/>
    </xf>
    <xf numFmtId="0" fontId="24" fillId="0" borderId="29" xfId="0" applyFont="1" applyBorder="1" applyAlignment="1">
      <alignment horizontal="left" vertical="top" wrapText="1"/>
    </xf>
    <xf numFmtId="0" fontId="24" fillId="0" borderId="13" xfId="0" applyFont="1" applyBorder="1" applyAlignment="1">
      <alignment horizontal="left" vertical="top" wrapText="1"/>
    </xf>
    <xf numFmtId="0" fontId="26" fillId="10" borderId="23" xfId="0" applyFont="1" applyFill="1" applyBorder="1"/>
    <xf numFmtId="0" fontId="26" fillId="10" borderId="26" xfId="0" applyFont="1" applyFill="1" applyBorder="1"/>
    <xf numFmtId="0" fontId="29" fillId="0" borderId="13" xfId="0" applyFont="1" applyBorder="1" applyAlignment="1">
      <alignment vertical="center" wrapText="1"/>
    </xf>
    <xf numFmtId="0" fontId="24" fillId="0" borderId="13" xfId="0" applyFont="1" applyBorder="1" applyAlignment="1">
      <alignment wrapText="1"/>
    </xf>
    <xf numFmtId="0" fontId="3" fillId="6" borderId="2" xfId="0" applyFont="1" applyFill="1" applyBorder="1" applyAlignment="1">
      <alignment horizontal="left" vertical="top" wrapText="1"/>
    </xf>
    <xf numFmtId="9" fontId="2" fillId="0" borderId="3" xfId="0" applyNumberFormat="1" applyFont="1" applyBorder="1" applyAlignment="1">
      <alignment wrapText="1"/>
    </xf>
    <xf numFmtId="2" fontId="2" fillId="0" borderId="3" xfId="0" applyNumberFormat="1" applyFont="1" applyBorder="1" applyAlignment="1">
      <alignment wrapText="1"/>
    </xf>
    <xf numFmtId="0" fontId="2" fillId="8" borderId="8" xfId="0" applyFont="1" applyFill="1" applyBorder="1" applyAlignment="1">
      <alignment wrapText="1"/>
    </xf>
    <xf numFmtId="165" fontId="2" fillId="0" borderId="3" xfId="0" applyNumberFormat="1" applyFont="1" applyBorder="1" applyAlignment="1">
      <alignment wrapText="1"/>
    </xf>
    <xf numFmtId="0" fontId="2" fillId="14" borderId="3" xfId="0" applyFont="1" applyFill="1" applyBorder="1" applyAlignment="1">
      <alignment wrapText="1"/>
    </xf>
    <xf numFmtId="0" fontId="3" fillId="14" borderId="3" xfId="0" applyFont="1" applyFill="1" applyBorder="1" applyAlignment="1">
      <alignment wrapText="1"/>
    </xf>
    <xf numFmtId="0" fontId="2" fillId="4" borderId="7" xfId="0" applyFont="1" applyFill="1" applyBorder="1" applyAlignment="1">
      <alignment wrapText="1"/>
    </xf>
    <xf numFmtId="0" fontId="2" fillId="8" borderId="25" xfId="0" applyFont="1" applyFill="1" applyBorder="1" applyAlignment="1">
      <alignment wrapText="1"/>
    </xf>
    <xf numFmtId="2" fontId="2" fillId="14" borderId="3" xfId="0" applyNumberFormat="1" applyFont="1" applyFill="1" applyBorder="1" applyAlignment="1">
      <alignment wrapText="1"/>
    </xf>
    <xf numFmtId="0" fontId="2" fillId="2" borderId="8" xfId="0" applyFont="1" applyFill="1" applyBorder="1" applyAlignment="1">
      <alignment wrapText="1"/>
    </xf>
    <xf numFmtId="166" fontId="2" fillId="0" borderId="3" xfId="0" applyNumberFormat="1" applyFont="1" applyBorder="1" applyAlignment="1">
      <alignment wrapText="1"/>
    </xf>
    <xf numFmtId="1" fontId="2" fillId="0" borderId="3" xfId="0" applyNumberFormat="1" applyFont="1" applyBorder="1" applyAlignment="1">
      <alignment wrapText="1"/>
    </xf>
    <xf numFmtId="1" fontId="2" fillId="14" borderId="3" xfId="0" applyNumberFormat="1" applyFont="1" applyFill="1" applyBorder="1" applyAlignment="1">
      <alignment wrapText="1"/>
    </xf>
    <xf numFmtId="0" fontId="37" fillId="15" borderId="35" xfId="0" applyFont="1" applyFill="1" applyBorder="1" applyAlignment="1">
      <alignment vertical="top" wrapText="1"/>
    </xf>
    <xf numFmtId="0" fontId="37" fillId="15" borderId="35" xfId="0" applyFont="1" applyFill="1" applyBorder="1" applyAlignment="1">
      <alignment horizontal="left" vertical="top" wrapText="1"/>
    </xf>
    <xf numFmtId="0" fontId="34" fillId="15" borderId="35" xfId="0" applyFont="1" applyFill="1" applyBorder="1" applyAlignment="1">
      <alignment horizontal="left" vertical="top" wrapText="1"/>
    </xf>
    <xf numFmtId="0" fontId="44" fillId="15" borderId="35" xfId="0" applyFont="1" applyFill="1" applyBorder="1" applyAlignment="1">
      <alignment horizontal="left" vertical="top" wrapText="1"/>
    </xf>
    <xf numFmtId="0" fontId="45" fillId="15" borderId="35" xfId="0" applyFont="1" applyFill="1" applyBorder="1" applyAlignment="1">
      <alignment horizontal="left" vertical="top" wrapText="1"/>
    </xf>
    <xf numFmtId="0" fontId="36" fillId="0" borderId="0" xfId="0" applyFont="1" applyAlignment="1">
      <alignment vertical="top"/>
    </xf>
    <xf numFmtId="0" fontId="34" fillId="15" borderId="35" xfId="0" applyFont="1" applyFill="1" applyBorder="1" applyAlignment="1">
      <alignment horizontal="center" vertical="top"/>
    </xf>
    <xf numFmtId="0" fontId="34" fillId="15" borderId="35" xfId="0" applyFont="1" applyFill="1" applyBorder="1" applyAlignment="1">
      <alignment horizontal="left" vertical="top"/>
    </xf>
    <xf numFmtId="0" fontId="35" fillId="16" borderId="35" xfId="0" applyFont="1" applyFill="1" applyBorder="1" applyAlignment="1">
      <alignment vertical="top"/>
    </xf>
    <xf numFmtId="0" fontId="38" fillId="0" borderId="35" xfId="0" applyFont="1" applyBorder="1" applyAlignment="1">
      <alignment horizontal="left" vertical="top" wrapText="1"/>
    </xf>
    <xf numFmtId="0" fontId="36" fillId="0" borderId="35" xfId="0" applyFont="1" applyBorder="1" applyAlignment="1">
      <alignment vertical="top"/>
    </xf>
    <xf numFmtId="0" fontId="39" fillId="0" borderId="35" xfId="0" applyFont="1" applyBorder="1" applyAlignment="1">
      <alignment horizontal="left" vertical="top" wrapText="1"/>
    </xf>
    <xf numFmtId="0" fontId="38" fillId="17" borderId="35" xfId="0" applyFont="1" applyFill="1" applyBorder="1" applyAlignment="1">
      <alignment horizontal="left" vertical="top" wrapText="1"/>
    </xf>
    <xf numFmtId="0" fontId="36" fillId="18" borderId="35" xfId="0" applyFont="1" applyFill="1" applyBorder="1" applyAlignment="1">
      <alignment vertical="top"/>
    </xf>
    <xf numFmtId="0" fontId="36" fillId="13" borderId="0" xfId="0" applyFont="1" applyFill="1" applyAlignment="1">
      <alignment vertical="top"/>
    </xf>
    <xf numFmtId="0" fontId="0" fillId="0" borderId="0" xfId="0" applyAlignment="1">
      <alignment vertical="top"/>
    </xf>
    <xf numFmtId="0" fontId="42" fillId="18" borderId="35" xfId="0" applyFont="1" applyFill="1" applyBorder="1" applyAlignment="1">
      <alignment vertical="top" wrapText="1"/>
    </xf>
    <xf numFmtId="0" fontId="43" fillId="0" borderId="35" xfId="0" applyFont="1" applyBorder="1" applyAlignment="1">
      <alignment horizontal="left" vertical="top" wrapText="1"/>
    </xf>
    <xf numFmtId="0" fontId="36" fillId="0" borderId="38" xfId="0" applyFont="1" applyBorder="1" applyAlignment="1">
      <alignment vertical="top"/>
    </xf>
    <xf numFmtId="0" fontId="36" fillId="14" borderId="35" xfId="0" applyFont="1" applyFill="1" applyBorder="1" applyAlignment="1">
      <alignment vertical="top"/>
    </xf>
    <xf numFmtId="0" fontId="50" fillId="0" borderId="13" xfId="0" applyFont="1" applyBorder="1" applyAlignment="1">
      <alignment vertical="top"/>
    </xf>
    <xf numFmtId="0" fontId="50" fillId="0" borderId="39" xfId="0" applyFont="1" applyBorder="1" applyAlignment="1">
      <alignment vertical="top"/>
    </xf>
    <xf numFmtId="0" fontId="24" fillId="0" borderId="25" xfId="0" applyFont="1" applyBorder="1" applyAlignment="1">
      <alignment vertical="top" wrapText="1"/>
    </xf>
    <xf numFmtId="0" fontId="24" fillId="0" borderId="8" xfId="0" applyFont="1" applyBorder="1" applyAlignment="1">
      <alignment vertical="top" wrapText="1"/>
    </xf>
    <xf numFmtId="0" fontId="24" fillId="0" borderId="3" xfId="0" applyFont="1" applyBorder="1" applyAlignment="1">
      <alignment vertical="top" wrapText="1"/>
    </xf>
    <xf numFmtId="0" fontId="39" fillId="14" borderId="35" xfId="0" applyFont="1" applyFill="1" applyBorder="1" applyAlignment="1">
      <alignment horizontal="left" vertical="top" wrapText="1"/>
    </xf>
    <xf numFmtId="0" fontId="3" fillId="0" borderId="32" xfId="0" applyFont="1" applyBorder="1" applyAlignment="1">
      <alignment wrapText="1"/>
    </xf>
    <xf numFmtId="0" fontId="3" fillId="0" borderId="33" xfId="0" applyFont="1" applyBorder="1" applyAlignment="1">
      <alignment wrapText="1"/>
    </xf>
    <xf numFmtId="0" fontId="3" fillId="0" borderId="34" xfId="0" applyFont="1" applyBorder="1" applyAlignment="1">
      <alignment wrapText="1"/>
    </xf>
    <xf numFmtId="0" fontId="2" fillId="0" borderId="5" xfId="0" applyFont="1" applyBorder="1" applyAlignment="1">
      <alignment horizontal="left"/>
    </xf>
    <xf numFmtId="0" fontId="2" fillId="0" borderId="11" xfId="0" applyFont="1" applyBorder="1" applyAlignment="1">
      <alignment horizontal="left"/>
    </xf>
    <xf numFmtId="0" fontId="2" fillId="4" borderId="5" xfId="0" applyFont="1" applyFill="1" applyBorder="1" applyAlignment="1">
      <alignment wrapText="1"/>
    </xf>
    <xf numFmtId="0" fontId="2" fillId="4" borderId="11" xfId="0" applyFont="1" applyFill="1" applyBorder="1" applyAlignment="1">
      <alignment wrapText="1"/>
    </xf>
    <xf numFmtId="0" fontId="37" fillId="14" borderId="35" xfId="0" applyFont="1" applyFill="1" applyBorder="1" applyAlignment="1">
      <alignment horizontal="left" vertical="top" wrapText="1"/>
    </xf>
    <xf numFmtId="0" fontId="39" fillId="14" borderId="38" xfId="0" applyFont="1" applyFill="1" applyBorder="1" applyAlignment="1">
      <alignment horizontal="left" vertical="top" wrapText="1"/>
    </xf>
    <xf numFmtId="0" fontId="3" fillId="13" borderId="3" xfId="0" applyFont="1" applyFill="1" applyBorder="1" applyAlignment="1">
      <alignment horizontal="left" vertical="top" wrapText="1"/>
    </xf>
    <xf numFmtId="0" fontId="51" fillId="0" borderId="0" xfId="0" applyFont="1" applyAlignment="1">
      <alignment vertical="top" wrapText="1"/>
    </xf>
    <xf numFmtId="167" fontId="2" fillId="0" borderId="3" xfId="0" applyNumberFormat="1" applyFont="1" applyBorder="1" applyAlignment="1">
      <alignment wrapText="1"/>
    </xf>
    <xf numFmtId="0" fontId="2" fillId="0" borderId="11" xfId="0" applyFont="1" applyBorder="1" applyAlignment="1">
      <alignment wrapText="1"/>
    </xf>
    <xf numFmtId="0" fontId="2" fillId="3" borderId="1" xfId="0" applyFont="1" applyFill="1" applyBorder="1" applyAlignment="1">
      <alignment vertical="top" wrapText="1"/>
    </xf>
    <xf numFmtId="0" fontId="2" fillId="2" borderId="6" xfId="0" applyFont="1" applyFill="1" applyBorder="1" applyAlignment="1">
      <alignment vertical="top" wrapText="1"/>
    </xf>
    <xf numFmtId="0" fontId="2" fillId="4" borderId="6" xfId="0" applyFont="1" applyFill="1" applyBorder="1" applyAlignment="1">
      <alignment vertical="top" wrapText="1"/>
    </xf>
    <xf numFmtId="0" fontId="2" fillId="8" borderId="25" xfId="0" applyFont="1" applyFill="1" applyBorder="1" applyAlignment="1">
      <alignment vertical="top" wrapText="1"/>
    </xf>
    <xf numFmtId="9" fontId="2" fillId="17" borderId="3" xfId="0" applyNumberFormat="1" applyFont="1" applyFill="1" applyBorder="1" applyAlignment="1">
      <alignment wrapText="1"/>
    </xf>
    <xf numFmtId="0" fontId="2" fillId="4" borderId="3" xfId="0" applyFont="1" applyFill="1" applyBorder="1" applyAlignment="1">
      <alignment vertical="top" wrapText="1"/>
    </xf>
    <xf numFmtId="0" fontId="2" fillId="2" borderId="11" xfId="0" applyFont="1" applyFill="1" applyBorder="1" applyAlignment="1">
      <alignment vertical="top" wrapText="1"/>
    </xf>
    <xf numFmtId="0" fontId="2" fillId="4" borderId="40" xfId="0" applyFont="1" applyFill="1" applyBorder="1" applyAlignment="1">
      <alignment vertical="top" wrapText="1"/>
    </xf>
    <xf numFmtId="0" fontId="2" fillId="2" borderId="11" xfId="0" applyFont="1" applyFill="1" applyBorder="1" applyAlignment="1">
      <alignment wrapText="1"/>
    </xf>
    <xf numFmtId="0" fontId="2" fillId="4" borderId="41" xfId="0" applyFont="1" applyFill="1" applyBorder="1" applyAlignment="1">
      <alignment vertical="top" wrapText="1"/>
    </xf>
    <xf numFmtId="0" fontId="2" fillId="0" borderId="14" xfId="0" applyFont="1" applyBorder="1" applyAlignment="1">
      <alignment wrapText="1"/>
    </xf>
    <xf numFmtId="0" fontId="2" fillId="7" borderId="14" xfId="0" applyFont="1" applyFill="1" applyBorder="1" applyAlignment="1">
      <alignment wrapText="1"/>
    </xf>
    <xf numFmtId="0" fontId="2" fillId="7" borderId="20" xfId="0" applyFont="1" applyFill="1" applyBorder="1" applyAlignment="1">
      <alignment wrapText="1"/>
    </xf>
    <xf numFmtId="3" fontId="2" fillId="0" borderId="3" xfId="0" applyNumberFormat="1" applyFont="1" applyBorder="1" applyAlignment="1">
      <alignment wrapText="1"/>
    </xf>
    <xf numFmtId="0" fontId="2" fillId="4" borderId="11" xfId="0" applyFont="1" applyFill="1" applyBorder="1" applyAlignment="1">
      <alignment vertical="top" wrapText="1"/>
    </xf>
    <xf numFmtId="0" fontId="2" fillId="17" borderId="3" xfId="0" applyFont="1" applyFill="1" applyBorder="1" applyAlignment="1">
      <alignment wrapText="1"/>
    </xf>
    <xf numFmtId="165" fontId="2" fillId="17" borderId="3" xfId="0" applyNumberFormat="1" applyFont="1" applyFill="1" applyBorder="1" applyAlignment="1">
      <alignment wrapText="1"/>
    </xf>
    <xf numFmtId="1" fontId="2" fillId="17" borderId="3" xfId="0" applyNumberFormat="1" applyFont="1" applyFill="1" applyBorder="1" applyAlignment="1">
      <alignment wrapText="1"/>
    </xf>
    <xf numFmtId="0" fontId="3" fillId="19" borderId="3" xfId="0" applyFont="1" applyFill="1" applyBorder="1" applyAlignment="1">
      <alignment wrapText="1"/>
    </xf>
    <xf numFmtId="165" fontId="2" fillId="0" borderId="3" xfId="0" applyNumberFormat="1" applyFont="1" applyBorder="1" applyAlignment="1">
      <alignment horizontal="left" wrapText="1"/>
    </xf>
    <xf numFmtId="2" fontId="53" fillId="0" borderId="3" xfId="0" applyNumberFormat="1" applyFont="1" applyBorder="1" applyAlignment="1">
      <alignment wrapText="1"/>
    </xf>
    <xf numFmtId="2" fontId="53" fillId="17" borderId="3" xfId="0" applyNumberFormat="1" applyFont="1" applyFill="1" applyBorder="1" applyAlignment="1">
      <alignment wrapText="1"/>
    </xf>
    <xf numFmtId="0" fontId="2" fillId="19" borderId="3" xfId="0" applyFont="1" applyFill="1" applyBorder="1" applyAlignment="1">
      <alignment wrapText="1"/>
    </xf>
    <xf numFmtId="9" fontId="2" fillId="19" borderId="3" xfId="0" applyNumberFormat="1" applyFont="1" applyFill="1" applyBorder="1" applyAlignment="1">
      <alignment wrapText="1"/>
    </xf>
    <xf numFmtId="9" fontId="2" fillId="19" borderId="3" xfId="0" applyNumberFormat="1" applyFont="1" applyFill="1" applyBorder="1" applyAlignment="1">
      <alignment horizontal="right" wrapText="1"/>
    </xf>
    <xf numFmtId="2" fontId="2" fillId="19" borderId="3" xfId="0" applyNumberFormat="1" applyFont="1" applyFill="1" applyBorder="1" applyAlignment="1">
      <alignment horizontal="right" wrapText="1"/>
    </xf>
    <xf numFmtId="167" fontId="2" fillId="19" borderId="3" xfId="0" applyNumberFormat="1" applyFont="1" applyFill="1" applyBorder="1" applyAlignment="1">
      <alignment wrapText="1"/>
    </xf>
    <xf numFmtId="9" fontId="2" fillId="4" borderId="11" xfId="0" applyNumberFormat="1" applyFont="1" applyFill="1" applyBorder="1" applyAlignment="1">
      <alignment wrapText="1"/>
    </xf>
    <xf numFmtId="0" fontId="2" fillId="15" borderId="41" xfId="0" applyFont="1" applyFill="1" applyBorder="1" applyAlignment="1">
      <alignment vertical="top" wrapText="1"/>
    </xf>
    <xf numFmtId="9" fontId="2" fillId="19" borderId="3" xfId="4" applyFont="1" applyFill="1" applyBorder="1" applyAlignment="1">
      <alignment horizontal="right" wrapText="1"/>
    </xf>
    <xf numFmtId="169" fontId="2" fillId="19" borderId="3" xfId="3" applyNumberFormat="1" applyFont="1" applyFill="1" applyBorder="1" applyAlignment="1">
      <alignment wrapText="1"/>
    </xf>
    <xf numFmtId="169" fontId="2" fillId="17" borderId="3" xfId="3" applyNumberFormat="1" applyFont="1" applyFill="1" applyBorder="1" applyAlignment="1">
      <alignment wrapText="1"/>
    </xf>
    <xf numFmtId="169" fontId="2" fillId="0" borderId="3" xfId="3" applyNumberFormat="1" applyFont="1" applyBorder="1" applyAlignment="1">
      <alignment wrapText="1"/>
    </xf>
    <xf numFmtId="169" fontId="2" fillId="19" borderId="3" xfId="0" applyNumberFormat="1" applyFont="1" applyFill="1" applyBorder="1" applyAlignment="1">
      <alignment wrapText="1"/>
    </xf>
    <xf numFmtId="165" fontId="2" fillId="19" borderId="3" xfId="0" applyNumberFormat="1" applyFont="1" applyFill="1" applyBorder="1" applyAlignment="1">
      <alignment horizontal="right" wrapText="1"/>
    </xf>
    <xf numFmtId="0" fontId="56" fillId="0" borderId="0" xfId="5" applyFont="1"/>
    <xf numFmtId="0" fontId="57" fillId="20" borderId="29" xfId="5" applyFont="1" applyFill="1" applyBorder="1" applyAlignment="1">
      <alignment horizontal="center"/>
    </xf>
    <xf numFmtId="0" fontId="57" fillId="13" borderId="13" xfId="5" applyFont="1" applyFill="1" applyBorder="1" applyAlignment="1">
      <alignment vertical="top"/>
    </xf>
    <xf numFmtId="0" fontId="57" fillId="13" borderId="13" xfId="5" applyFont="1" applyFill="1" applyBorder="1" applyAlignment="1">
      <alignment vertical="top" wrapText="1"/>
    </xf>
    <xf numFmtId="0" fontId="58" fillId="13" borderId="13" xfId="5" applyFont="1" applyFill="1" applyBorder="1" applyAlignment="1">
      <alignment vertical="top" wrapText="1"/>
    </xf>
    <xf numFmtId="0" fontId="56" fillId="0" borderId="13" xfId="5" applyFont="1" applyBorder="1"/>
    <xf numFmtId="170" fontId="56" fillId="0" borderId="13" xfId="5" applyNumberFormat="1" applyFont="1" applyBorder="1"/>
    <xf numFmtId="169" fontId="56" fillId="0" borderId="13" xfId="6" applyNumberFormat="1" applyFont="1" applyBorder="1"/>
    <xf numFmtId="0" fontId="1" fillId="0" borderId="0" xfId="5"/>
    <xf numFmtId="0" fontId="56" fillId="17" borderId="13" xfId="5" applyFont="1" applyFill="1" applyBorder="1"/>
    <xf numFmtId="168" fontId="56" fillId="0" borderId="13" xfId="6" applyNumberFormat="1" applyFont="1" applyBorder="1"/>
    <xf numFmtId="0" fontId="56" fillId="21" borderId="13" xfId="5" applyFont="1" applyFill="1" applyBorder="1"/>
    <xf numFmtId="1" fontId="56" fillId="0" borderId="13" xfId="5" applyNumberFormat="1" applyFont="1" applyBorder="1"/>
    <xf numFmtId="164" fontId="58" fillId="0" borderId="0" xfId="5" applyNumberFormat="1" applyFont="1"/>
    <xf numFmtId="164" fontId="56" fillId="0" borderId="0" xfId="5" applyNumberFormat="1" applyFont="1"/>
    <xf numFmtId="2" fontId="58" fillId="0" borderId="0" xfId="5" applyNumberFormat="1" applyFont="1"/>
    <xf numFmtId="169" fontId="56" fillId="0" borderId="13" xfId="3" applyNumberFormat="1" applyFont="1" applyBorder="1"/>
    <xf numFmtId="0" fontId="34" fillId="15" borderId="35" xfId="0" applyFont="1" applyFill="1" applyBorder="1" applyAlignment="1">
      <alignment vertical="top"/>
    </xf>
    <xf numFmtId="0" fontId="39" fillId="17" borderId="35" xfId="0" applyFont="1" applyFill="1" applyBorder="1" applyAlignment="1">
      <alignment horizontal="left" vertical="top" wrapText="1"/>
    </xf>
    <xf numFmtId="0" fontId="40" fillId="0" borderId="35" xfId="0" applyFont="1" applyBorder="1" applyAlignment="1">
      <alignment horizontal="left" vertical="top" wrapText="1"/>
    </xf>
    <xf numFmtId="0" fontId="53" fillId="19" borderId="3" xfId="0" applyFont="1" applyFill="1" applyBorder="1" applyAlignment="1">
      <alignment wrapText="1"/>
    </xf>
    <xf numFmtId="169" fontId="53" fillId="19" borderId="3" xfId="3" applyNumberFormat="1" applyFont="1" applyFill="1" applyBorder="1" applyAlignment="1">
      <alignment wrapText="1"/>
    </xf>
    <xf numFmtId="169" fontId="59" fillId="19" borderId="3" xfId="0" applyNumberFormat="1" applyFont="1" applyFill="1" applyBorder="1" applyAlignment="1">
      <alignment wrapText="1"/>
    </xf>
    <xf numFmtId="9" fontId="59" fillId="19" borderId="3" xfId="0" applyNumberFormat="1" applyFont="1" applyFill="1" applyBorder="1" applyAlignment="1">
      <alignment wrapText="1"/>
    </xf>
    <xf numFmtId="169" fontId="60" fillId="0" borderId="3" xfId="3" applyNumberFormat="1" applyFont="1" applyBorder="1" applyAlignment="1">
      <alignment wrapText="1"/>
    </xf>
    <xf numFmtId="0" fontId="32" fillId="19" borderId="3" xfId="0" applyFont="1" applyFill="1" applyBorder="1" applyAlignment="1">
      <alignment wrapText="1"/>
    </xf>
    <xf numFmtId="169" fontId="60" fillId="19" borderId="3" xfId="3" applyNumberFormat="1" applyFont="1" applyFill="1" applyBorder="1" applyAlignment="1">
      <alignment wrapText="1"/>
    </xf>
    <xf numFmtId="169" fontId="60" fillId="19" borderId="3" xfId="0" applyNumberFormat="1" applyFont="1" applyFill="1" applyBorder="1" applyAlignment="1">
      <alignment wrapText="1"/>
    </xf>
    <xf numFmtId="9" fontId="0" fillId="0" borderId="0" xfId="0" applyNumberFormat="1"/>
    <xf numFmtId="169" fontId="56" fillId="0" borderId="0" xfId="5" applyNumberFormat="1" applyFont="1"/>
    <xf numFmtId="0" fontId="58" fillId="17" borderId="0" xfId="5" applyFont="1" applyFill="1"/>
    <xf numFmtId="0" fontId="61" fillId="0" borderId="0" xfId="0" applyFont="1"/>
    <xf numFmtId="0" fontId="62" fillId="22" borderId="45" xfId="0" applyFont="1" applyFill="1" applyBorder="1"/>
    <xf numFmtId="0" fontId="62" fillId="23" borderId="21" xfId="0" applyFont="1" applyFill="1" applyBorder="1"/>
    <xf numFmtId="0" fontId="61" fillId="0" borderId="23" xfId="0" applyFont="1" applyBorder="1"/>
    <xf numFmtId="0" fontId="61" fillId="0" borderId="22" xfId="0" applyFont="1" applyBorder="1"/>
    <xf numFmtId="3" fontId="61" fillId="0" borderId="23" xfId="0" applyNumberFormat="1" applyFont="1" applyBorder="1"/>
    <xf numFmtId="0" fontId="61" fillId="25" borderId="23" xfId="0" applyFont="1" applyFill="1" applyBorder="1"/>
    <xf numFmtId="4" fontId="61" fillId="0" borderId="23" xfId="0" applyNumberFormat="1" applyFont="1" applyBorder="1"/>
    <xf numFmtId="0" fontId="61" fillId="26" borderId="23" xfId="0" applyFont="1" applyFill="1" applyBorder="1"/>
    <xf numFmtId="0" fontId="63" fillId="0" borderId="0" xfId="0" applyFont="1"/>
    <xf numFmtId="3" fontId="63" fillId="0" borderId="0" xfId="0" applyNumberFormat="1" applyFont="1"/>
    <xf numFmtId="0" fontId="61" fillId="0" borderId="0" xfId="0" applyFont="1" applyAlignment="1">
      <alignment vertical="top" wrapText="1"/>
    </xf>
    <xf numFmtId="0" fontId="62" fillId="24" borderId="13" xfId="0" applyFont="1" applyFill="1" applyBorder="1" applyAlignment="1">
      <alignment vertical="top" wrapText="1"/>
    </xf>
    <xf numFmtId="0" fontId="62" fillId="24" borderId="21" xfId="0" applyFont="1" applyFill="1" applyBorder="1" applyAlignment="1">
      <alignment vertical="top" wrapText="1"/>
    </xf>
    <xf numFmtId="0" fontId="63" fillId="24" borderId="23" xfId="0" applyFont="1" applyFill="1" applyBorder="1" applyAlignment="1">
      <alignment vertical="top" wrapText="1"/>
    </xf>
    <xf numFmtId="0" fontId="63" fillId="23" borderId="23" xfId="0" applyFont="1" applyFill="1" applyBorder="1" applyAlignment="1">
      <alignment vertical="top" wrapText="1"/>
    </xf>
    <xf numFmtId="0" fontId="0" fillId="0" borderId="0" xfId="0" applyAlignment="1">
      <alignment vertical="top" wrapText="1"/>
    </xf>
    <xf numFmtId="0" fontId="61" fillId="17" borderId="23" xfId="0" applyFont="1" applyFill="1" applyBorder="1"/>
    <xf numFmtId="0" fontId="61" fillId="14" borderId="23" xfId="0" applyFont="1" applyFill="1" applyBorder="1"/>
    <xf numFmtId="0" fontId="31" fillId="0" borderId="0" xfId="1" applyFont="1" applyFill="1" applyBorder="1" applyAlignment="1"/>
    <xf numFmtId="0" fontId="2" fillId="2" borderId="40" xfId="0" applyFont="1" applyFill="1" applyBorder="1" applyAlignment="1">
      <alignment wrapText="1"/>
    </xf>
    <xf numFmtId="169" fontId="58" fillId="17" borderId="0" xfId="5" applyNumberFormat="1" applyFont="1" applyFill="1"/>
    <xf numFmtId="0" fontId="56" fillId="0" borderId="35" xfId="5" applyFont="1" applyBorder="1"/>
    <xf numFmtId="169" fontId="58" fillId="0" borderId="35" xfId="6" applyNumberFormat="1" applyFont="1" applyBorder="1"/>
    <xf numFmtId="169" fontId="58" fillId="0" borderId="35" xfId="5" applyNumberFormat="1" applyFont="1" applyBorder="1"/>
    <xf numFmtId="170" fontId="56" fillId="0" borderId="29" xfId="5" applyNumberFormat="1" applyFont="1" applyBorder="1"/>
    <xf numFmtId="1" fontId="56" fillId="0" borderId="29" xfId="5" applyNumberFormat="1" applyFont="1" applyBorder="1"/>
    <xf numFmtId="169" fontId="56" fillId="0" borderId="29" xfId="3" applyNumberFormat="1" applyFont="1" applyBorder="1"/>
    <xf numFmtId="0" fontId="56" fillId="0" borderId="29" xfId="5" applyFont="1" applyBorder="1"/>
    <xf numFmtId="2" fontId="2" fillId="19" borderId="3" xfId="0" applyNumberFormat="1" applyFont="1" applyFill="1" applyBorder="1" applyAlignment="1">
      <alignment wrapText="1"/>
    </xf>
    <xf numFmtId="169" fontId="0" fillId="0" borderId="0" xfId="0" applyNumberFormat="1"/>
    <xf numFmtId="169" fontId="2" fillId="0" borderId="3" xfId="0" applyNumberFormat="1" applyFont="1" applyBorder="1" applyAlignment="1">
      <alignment wrapText="1"/>
    </xf>
    <xf numFmtId="165" fontId="2" fillId="19" borderId="3" xfId="0" applyNumberFormat="1" applyFont="1" applyFill="1" applyBorder="1" applyAlignment="1">
      <alignment wrapText="1"/>
    </xf>
    <xf numFmtId="1" fontId="60" fillId="0" borderId="3" xfId="0" applyNumberFormat="1" applyFont="1" applyBorder="1" applyAlignment="1">
      <alignment wrapText="1"/>
    </xf>
    <xf numFmtId="169" fontId="58" fillId="27" borderId="0" xfId="5" applyNumberFormat="1" applyFont="1" applyFill="1"/>
    <xf numFmtId="0" fontId="58" fillId="27" borderId="0" xfId="5" applyFont="1" applyFill="1"/>
    <xf numFmtId="0" fontId="2" fillId="4" borderId="0" xfId="0" applyFont="1" applyFill="1" applyAlignment="1">
      <alignment vertical="top" wrapText="1"/>
    </xf>
    <xf numFmtId="9" fontId="2" fillId="17" borderId="7" xfId="0" applyNumberFormat="1" applyFont="1" applyFill="1" applyBorder="1" applyAlignment="1">
      <alignment wrapText="1"/>
    </xf>
    <xf numFmtId="0" fontId="2" fillId="17" borderId="7" xfId="0" applyFont="1" applyFill="1" applyBorder="1" applyAlignment="1">
      <alignment wrapText="1"/>
    </xf>
    <xf numFmtId="169" fontId="2" fillId="17" borderId="3" xfId="0" applyNumberFormat="1" applyFont="1" applyFill="1" applyBorder="1" applyAlignment="1">
      <alignment wrapText="1"/>
    </xf>
    <xf numFmtId="0" fontId="2" fillId="4" borderId="43" xfId="0" applyFont="1" applyFill="1" applyBorder="1" applyAlignment="1">
      <alignment vertical="top" wrapText="1"/>
    </xf>
    <xf numFmtId="0" fontId="2" fillId="0" borderId="10" xfId="0" applyFont="1" applyBorder="1" applyAlignment="1">
      <alignment horizontal="left"/>
    </xf>
    <xf numFmtId="169" fontId="2" fillId="17" borderId="34" xfId="3" applyNumberFormat="1" applyFont="1" applyFill="1" applyBorder="1" applyAlignment="1">
      <alignment wrapText="1"/>
    </xf>
    <xf numFmtId="9" fontId="2" fillId="17" borderId="40" xfId="0" applyNumberFormat="1" applyFont="1" applyFill="1" applyBorder="1" applyAlignment="1">
      <alignment wrapText="1"/>
    </xf>
    <xf numFmtId="169" fontId="60" fillId="17" borderId="3" xfId="3" applyNumberFormat="1" applyFont="1" applyFill="1" applyBorder="1" applyAlignment="1">
      <alignment wrapText="1"/>
    </xf>
    <xf numFmtId="169" fontId="53" fillId="17" borderId="3" xfId="3" applyNumberFormat="1" applyFont="1" applyFill="1" applyBorder="1" applyAlignment="1">
      <alignment wrapText="1"/>
    </xf>
    <xf numFmtId="169" fontId="53" fillId="17" borderId="3" xfId="0" applyNumberFormat="1" applyFont="1" applyFill="1" applyBorder="1" applyAlignment="1">
      <alignment wrapText="1"/>
    </xf>
    <xf numFmtId="169" fontId="53" fillId="17" borderId="7" xfId="3" applyNumberFormat="1" applyFont="1" applyFill="1" applyBorder="1" applyAlignment="1">
      <alignment wrapText="1"/>
    </xf>
    <xf numFmtId="169" fontId="53" fillId="17" borderId="47" xfId="3" applyNumberFormat="1" applyFont="1" applyFill="1" applyBorder="1" applyAlignment="1">
      <alignment wrapText="1"/>
    </xf>
    <xf numFmtId="169" fontId="2" fillId="17" borderId="42" xfId="3" applyNumberFormat="1" applyFont="1" applyFill="1" applyBorder="1" applyAlignment="1">
      <alignment wrapText="1"/>
    </xf>
    <xf numFmtId="169" fontId="2" fillId="0" borderId="7" xfId="3" applyNumberFormat="1" applyFont="1" applyBorder="1" applyAlignment="1">
      <alignment wrapText="1"/>
    </xf>
    <xf numFmtId="0" fontId="2" fillId="4" borderId="10" xfId="0" applyFont="1" applyFill="1" applyBorder="1" applyAlignment="1">
      <alignment vertical="top" wrapText="1"/>
    </xf>
    <xf numFmtId="9" fontId="2" fillId="17" borderId="34" xfId="0" applyNumberFormat="1" applyFont="1" applyFill="1" applyBorder="1" applyAlignment="1">
      <alignment wrapText="1"/>
    </xf>
    <xf numFmtId="0" fontId="2" fillId="4" borderId="38" xfId="0" applyFont="1" applyFill="1" applyBorder="1" applyAlignment="1">
      <alignment vertical="top" wrapText="1"/>
    </xf>
    <xf numFmtId="165" fontId="60" fillId="17" borderId="3" xfId="0" applyNumberFormat="1" applyFont="1" applyFill="1" applyBorder="1" applyAlignment="1">
      <alignment wrapText="1"/>
    </xf>
    <xf numFmtId="9" fontId="60" fillId="17" borderId="35" xfId="0" applyNumberFormat="1" applyFont="1" applyFill="1" applyBorder="1" applyAlignment="1">
      <alignment wrapText="1"/>
    </xf>
    <xf numFmtId="9" fontId="60" fillId="17" borderId="3" xfId="0" applyNumberFormat="1" applyFont="1" applyFill="1" applyBorder="1" applyAlignment="1">
      <alignment wrapText="1"/>
    </xf>
    <xf numFmtId="2" fontId="60" fillId="17" borderId="3" xfId="0" applyNumberFormat="1" applyFont="1" applyFill="1" applyBorder="1" applyAlignment="1">
      <alignment wrapText="1"/>
    </xf>
    <xf numFmtId="0" fontId="60" fillId="17" borderId="48" xfId="0" applyFont="1" applyFill="1" applyBorder="1" applyAlignment="1">
      <alignment wrapText="1"/>
    </xf>
    <xf numFmtId="0" fontId="60" fillId="17" borderId="3" xfId="0" applyFont="1" applyFill="1" applyBorder="1" applyAlignment="1">
      <alignment wrapText="1"/>
    </xf>
    <xf numFmtId="169" fontId="3" fillId="19" borderId="3" xfId="0" applyNumberFormat="1" applyFont="1" applyFill="1" applyBorder="1" applyAlignment="1">
      <alignment wrapText="1"/>
    </xf>
    <xf numFmtId="167" fontId="2" fillId="0" borderId="11" xfId="0" applyNumberFormat="1" applyFont="1" applyBorder="1" applyAlignment="1">
      <alignment horizontal="left"/>
    </xf>
    <xf numFmtId="169" fontId="2" fillId="4" borderId="3" xfId="0" applyNumberFormat="1" applyFont="1" applyFill="1" applyBorder="1" applyAlignment="1">
      <alignment wrapText="1"/>
    </xf>
    <xf numFmtId="3" fontId="2" fillId="17" borderId="3" xfId="0" applyNumberFormat="1" applyFont="1" applyFill="1" applyBorder="1" applyAlignment="1">
      <alignment wrapText="1"/>
    </xf>
    <xf numFmtId="0" fontId="53" fillId="17" borderId="3" xfId="0" applyFont="1" applyFill="1" applyBorder="1" applyAlignment="1">
      <alignment wrapText="1"/>
    </xf>
    <xf numFmtId="169" fontId="59" fillId="17" borderId="3" xfId="0" applyNumberFormat="1" applyFont="1" applyFill="1" applyBorder="1" applyAlignment="1">
      <alignment wrapText="1"/>
    </xf>
    <xf numFmtId="9" fontId="3" fillId="19" borderId="3" xfId="0" applyNumberFormat="1" applyFont="1" applyFill="1" applyBorder="1" applyAlignment="1">
      <alignment wrapText="1"/>
    </xf>
    <xf numFmtId="169" fontId="3" fillId="19" borderId="3" xfId="3" applyNumberFormat="1" applyFont="1" applyFill="1" applyBorder="1" applyAlignment="1">
      <alignment wrapText="1"/>
    </xf>
    <xf numFmtId="0" fontId="4" fillId="0" borderId="49" xfId="0" applyFont="1" applyBorder="1" applyAlignment="1">
      <alignment horizontal="center" vertical="top" wrapText="1"/>
    </xf>
    <xf numFmtId="0" fontId="4" fillId="0" borderId="50" xfId="0" applyFont="1" applyBorder="1" applyAlignment="1">
      <alignment horizontal="center" vertical="top" wrapText="1"/>
    </xf>
    <xf numFmtId="0" fontId="11" fillId="0" borderId="51" xfId="0" applyFont="1" applyBorder="1" applyAlignment="1">
      <alignment horizontal="center" vertical="top" wrapText="1"/>
    </xf>
    <xf numFmtId="0" fontId="0" fillId="28" borderId="0" xfId="0" applyFill="1"/>
    <xf numFmtId="0" fontId="64" fillId="0" borderId="0" xfId="0" applyFont="1" applyAlignment="1">
      <alignment vertical="top"/>
    </xf>
    <xf numFmtId="0" fontId="11" fillId="0" borderId="51" xfId="0" applyFont="1" applyBorder="1" applyAlignment="1">
      <alignment vertical="top"/>
    </xf>
    <xf numFmtId="0" fontId="7" fillId="0" borderId="52" xfId="0" applyFont="1" applyBorder="1" applyAlignment="1">
      <alignment horizontal="justify" vertical="top" wrapText="1"/>
    </xf>
    <xf numFmtId="0" fontId="7" fillId="0" borderId="52" xfId="0" quotePrefix="1" applyFont="1" applyBorder="1" applyAlignment="1">
      <alignment horizontal="justify" vertical="top" wrapText="1"/>
    </xf>
    <xf numFmtId="0" fontId="11" fillId="0" borderId="52" xfId="0" applyFont="1" applyBorder="1" applyAlignment="1">
      <alignment vertical="top" wrapText="1"/>
    </xf>
    <xf numFmtId="0" fontId="7" fillId="0" borderId="52" xfId="0" applyFont="1" applyBorder="1" applyAlignment="1">
      <alignment vertical="top" wrapText="1"/>
    </xf>
    <xf numFmtId="0" fontId="11" fillId="0" borderId="22" xfId="0" applyFont="1" applyBorder="1" applyAlignment="1">
      <alignment horizontal="justify" vertical="top" wrapText="1"/>
    </xf>
    <xf numFmtId="0" fontId="7" fillId="0" borderId="22" xfId="0" applyFont="1" applyBorder="1" applyAlignment="1">
      <alignment horizontal="justify" vertical="top" wrapText="1"/>
    </xf>
    <xf numFmtId="0" fontId="7" fillId="0" borderId="27" xfId="0" applyFont="1" applyBorder="1" applyAlignment="1">
      <alignment horizontal="justify" vertical="top" wrapText="1"/>
    </xf>
    <xf numFmtId="0" fontId="11" fillId="0" borderId="0" xfId="0" applyFont="1" applyAlignment="1">
      <alignment vertical="top" wrapText="1"/>
    </xf>
    <xf numFmtId="0" fontId="7" fillId="0" borderId="22" xfId="0" applyFont="1" applyBorder="1" applyAlignment="1">
      <alignment vertical="top" wrapText="1"/>
    </xf>
    <xf numFmtId="0" fontId="11" fillId="0" borderId="13" xfId="0" applyFont="1" applyBorder="1" applyAlignment="1">
      <alignment horizontal="justify" vertical="top" wrapText="1"/>
    </xf>
    <xf numFmtId="0" fontId="7" fillId="0" borderId="13" xfId="0" applyFont="1" applyBorder="1" applyAlignment="1">
      <alignment horizontal="justify" vertical="top" wrapText="1"/>
    </xf>
    <xf numFmtId="0" fontId="11" fillId="0" borderId="13" xfId="0" applyFont="1" applyBorder="1" applyAlignment="1">
      <alignment vertical="top" wrapText="1"/>
    </xf>
    <xf numFmtId="0" fontId="7" fillId="0" borderId="13" xfId="0" applyFont="1" applyBorder="1" applyAlignment="1">
      <alignment vertical="top" wrapText="1"/>
    </xf>
    <xf numFmtId="0" fontId="7" fillId="0" borderId="29" xfId="0" applyFont="1" applyBorder="1" applyAlignment="1">
      <alignment vertical="top" wrapText="1"/>
    </xf>
    <xf numFmtId="0" fontId="7" fillId="0" borderId="0" xfId="0" applyFont="1" applyAlignment="1">
      <alignment vertical="top" wrapText="1"/>
    </xf>
    <xf numFmtId="0" fontId="11" fillId="0" borderId="22" xfId="0" applyFont="1" applyBorder="1" applyAlignment="1">
      <alignment vertical="top" wrapText="1"/>
    </xf>
    <xf numFmtId="0" fontId="11" fillId="0" borderId="13" xfId="0" applyFont="1" applyBorder="1" applyAlignment="1">
      <alignment horizontal="justify" vertical="top"/>
    </xf>
    <xf numFmtId="0" fontId="5" fillId="0" borderId="0" xfId="0" applyFont="1" applyAlignment="1">
      <alignment vertical="top" wrapText="1"/>
    </xf>
    <xf numFmtId="0" fontId="68" fillId="0" borderId="13" xfId="0" applyFont="1" applyBorder="1" applyAlignment="1">
      <alignment horizontal="left" vertical="top" wrapText="1"/>
    </xf>
    <xf numFmtId="0" fontId="69" fillId="0" borderId="13"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justify" vertical="top" wrapText="1"/>
    </xf>
    <xf numFmtId="0" fontId="2" fillId="4" borderId="42" xfId="0" applyFont="1" applyFill="1" applyBorder="1" applyAlignment="1">
      <alignment vertical="top" wrapText="1"/>
    </xf>
    <xf numFmtId="165" fontId="2" fillId="0" borderId="7" xfId="0" applyNumberFormat="1" applyFont="1" applyBorder="1" applyAlignment="1">
      <alignment wrapText="1"/>
    </xf>
    <xf numFmtId="0" fontId="3" fillId="19" borderId="7" xfId="0" applyFont="1" applyFill="1" applyBorder="1" applyAlignment="1">
      <alignment wrapText="1"/>
    </xf>
    <xf numFmtId="9" fontId="2" fillId="0" borderId="7" xfId="0" applyNumberFormat="1" applyFont="1" applyBorder="1" applyAlignment="1">
      <alignment wrapText="1"/>
    </xf>
    <xf numFmtId="43" fontId="2" fillId="17" borderId="3" xfId="0" applyNumberFormat="1" applyFont="1" applyFill="1" applyBorder="1" applyAlignment="1">
      <alignment horizontal="right" wrapText="1"/>
    </xf>
    <xf numFmtId="2" fontId="2" fillId="17" borderId="3" xfId="0" applyNumberFormat="1" applyFont="1" applyFill="1" applyBorder="1" applyAlignment="1">
      <alignment horizontal="right" wrapText="1"/>
    </xf>
    <xf numFmtId="0" fontId="3" fillId="17" borderId="3" xfId="0" applyFont="1" applyFill="1" applyBorder="1" applyAlignment="1">
      <alignment wrapText="1"/>
    </xf>
    <xf numFmtId="0" fontId="2" fillId="8" borderId="8" xfId="0" applyFont="1" applyFill="1" applyBorder="1" applyAlignment="1">
      <alignment horizontal="left" vertical="top" wrapText="1"/>
    </xf>
    <xf numFmtId="0" fontId="2" fillId="4" borderId="5" xfId="0" applyFont="1" applyFill="1" applyBorder="1"/>
    <xf numFmtId="9" fontId="2" fillId="17" borderId="3" xfId="0" applyNumberFormat="1" applyFont="1" applyFill="1" applyBorder="1" applyAlignment="1">
      <alignment horizontal="right" wrapText="1"/>
    </xf>
    <xf numFmtId="169" fontId="2" fillId="29" borderId="3" xfId="3" applyNumberFormat="1" applyFont="1" applyFill="1" applyBorder="1" applyAlignment="1">
      <alignment wrapText="1"/>
    </xf>
    <xf numFmtId="1" fontId="2" fillId="0" borderId="7" xfId="0" applyNumberFormat="1" applyFont="1" applyBorder="1" applyAlignment="1">
      <alignment wrapText="1"/>
    </xf>
    <xf numFmtId="0" fontId="37" fillId="0" borderId="35" xfId="0" applyFont="1" applyBorder="1" applyAlignment="1">
      <alignment horizontal="left" vertical="top" wrapText="1"/>
    </xf>
    <xf numFmtId="0" fontId="39" fillId="0" borderId="38" xfId="0" applyFont="1" applyBorder="1" applyAlignment="1">
      <alignment horizontal="left" vertical="top" wrapText="1"/>
    </xf>
    <xf numFmtId="0" fontId="36" fillId="13" borderId="35" xfId="0" applyFont="1" applyFill="1" applyBorder="1" applyAlignment="1">
      <alignment vertical="top"/>
    </xf>
    <xf numFmtId="0" fontId="36" fillId="13" borderId="1" xfId="0" applyFont="1" applyFill="1" applyBorder="1" applyAlignment="1">
      <alignment vertical="top"/>
    </xf>
    <xf numFmtId="0" fontId="36" fillId="0" borderId="35" xfId="0" applyFont="1" applyBorder="1" applyAlignment="1">
      <alignment vertical="top" wrapText="1"/>
    </xf>
    <xf numFmtId="0" fontId="72" fillId="0" borderId="35" xfId="0" applyFont="1" applyBorder="1" applyAlignment="1">
      <alignment vertical="top"/>
    </xf>
    <xf numFmtId="0" fontId="39" fillId="0" borderId="35" xfId="0" applyFont="1" applyBorder="1" applyAlignment="1">
      <alignment horizontal="left" vertical="top"/>
    </xf>
    <xf numFmtId="0" fontId="36" fillId="0" borderId="38" xfId="0" applyFont="1" applyBorder="1" applyAlignment="1">
      <alignment vertical="top" wrapText="1"/>
    </xf>
    <xf numFmtId="0" fontId="36" fillId="14" borderId="48" xfId="0" applyFont="1" applyFill="1" applyBorder="1" applyAlignment="1">
      <alignment vertical="top"/>
    </xf>
    <xf numFmtId="0" fontId="5" fillId="0" borderId="29" xfId="0" applyFont="1" applyBorder="1" applyAlignment="1">
      <alignment vertical="center" wrapText="1"/>
    </xf>
    <xf numFmtId="169" fontId="58" fillId="0" borderId="0" xfId="6" applyNumberFormat="1" applyFont="1"/>
    <xf numFmtId="169" fontId="58" fillId="0" borderId="0" xfId="5" applyNumberFormat="1" applyFont="1"/>
    <xf numFmtId="9" fontId="56" fillId="0" borderId="0" xfId="5" applyNumberFormat="1" applyFont="1"/>
    <xf numFmtId="0" fontId="2" fillId="0" borderId="5" xfId="0" applyFont="1" applyBorder="1" applyAlignment="1">
      <alignment horizontal="left"/>
    </xf>
    <xf numFmtId="0" fontId="2" fillId="0" borderId="11" xfId="0" applyFont="1" applyBorder="1" applyAlignment="1">
      <alignment horizontal="left"/>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wrapText="1"/>
    </xf>
    <xf numFmtId="0" fontId="3" fillId="0" borderId="33" xfId="0" applyFont="1" applyBorder="1" applyAlignment="1">
      <alignment horizontal="left" wrapText="1"/>
    </xf>
    <xf numFmtId="0" fontId="3" fillId="0" borderId="34" xfId="0" applyFont="1" applyBorder="1" applyAlignment="1">
      <alignment horizontal="left"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34" xfId="0" applyFont="1" applyBorder="1" applyAlignment="1">
      <alignment horizont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2" fillId="0" borderId="11" xfId="0" applyFont="1" applyBorder="1" applyAlignment="1">
      <alignment wrapText="1"/>
    </xf>
    <xf numFmtId="0" fontId="2" fillId="0" borderId="14" xfId="0" applyFont="1" applyBorder="1" applyAlignment="1">
      <alignment wrapText="1"/>
    </xf>
    <xf numFmtId="0" fontId="2" fillId="4" borderId="5" xfId="0" applyFont="1" applyFill="1" applyBorder="1" applyAlignment="1">
      <alignment wrapText="1"/>
    </xf>
    <xf numFmtId="0" fontId="2" fillId="4" borderId="11" xfId="0" applyFont="1" applyFill="1" applyBorder="1" applyAlignment="1">
      <alignment wrapText="1"/>
    </xf>
    <xf numFmtId="0" fontId="3" fillId="0" borderId="5" xfId="0" applyFont="1" applyBorder="1" applyAlignment="1">
      <alignment wrapText="1"/>
    </xf>
    <xf numFmtId="0" fontId="3" fillId="0" borderId="11" xfId="0" applyFont="1" applyBorder="1" applyAlignment="1">
      <alignment wrapText="1"/>
    </xf>
    <xf numFmtId="0" fontId="33" fillId="6" borderId="24"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52" fillId="0" borderId="24" xfId="0" applyFont="1" applyBorder="1" applyAlignment="1">
      <alignment vertical="top" wrapText="1"/>
    </xf>
    <xf numFmtId="0" fontId="52" fillId="0" borderId="4" xfId="0" applyFont="1" applyBorder="1" applyAlignment="1">
      <alignment vertical="top" wrapText="1"/>
    </xf>
    <xf numFmtId="0" fontId="52" fillId="0" borderId="2" xfId="0" applyFont="1" applyBorder="1" applyAlignment="1">
      <alignment vertical="top" wrapText="1"/>
    </xf>
    <xf numFmtId="0" fontId="3" fillId="13" borderId="24" xfId="0" applyFont="1" applyFill="1" applyBorder="1" applyAlignment="1">
      <alignment horizontal="left" vertical="top" wrapText="1"/>
    </xf>
    <xf numFmtId="0" fontId="3" fillId="13" borderId="4" xfId="0" applyFont="1" applyFill="1" applyBorder="1" applyAlignment="1">
      <alignment horizontal="left" vertical="top" wrapText="1"/>
    </xf>
    <xf numFmtId="0" fontId="3" fillId="13" borderId="2" xfId="0" applyFont="1" applyFill="1" applyBorder="1" applyAlignment="1">
      <alignment horizontal="left" vertical="top" wrapText="1"/>
    </xf>
    <xf numFmtId="0" fontId="22" fillId="0" borderId="24" xfId="0" applyFont="1" applyBorder="1" applyAlignment="1">
      <alignment horizontal="left" vertical="top" wrapText="1"/>
    </xf>
    <xf numFmtId="0" fontId="22" fillId="0" borderId="4" xfId="0" applyFont="1" applyBorder="1" applyAlignment="1">
      <alignment horizontal="left" vertical="top" wrapText="1"/>
    </xf>
    <xf numFmtId="0" fontId="22" fillId="0" borderId="2" xfId="0" applyFont="1" applyBorder="1" applyAlignment="1">
      <alignment horizontal="left" vertical="top" wrapText="1"/>
    </xf>
    <xf numFmtId="0" fontId="2" fillId="3" borderId="4" xfId="0" applyFont="1" applyFill="1" applyBorder="1" applyAlignment="1">
      <alignment wrapText="1"/>
    </xf>
    <xf numFmtId="0" fontId="2" fillId="3" borderId="15" xfId="0" applyFont="1" applyFill="1" applyBorder="1" applyAlignment="1">
      <alignment wrapText="1"/>
    </xf>
    <xf numFmtId="0" fontId="2" fillId="5" borderId="9" xfId="0" applyFont="1" applyFill="1" applyBorder="1" applyAlignment="1">
      <alignment wrapText="1"/>
    </xf>
    <xf numFmtId="0" fontId="2" fillId="5" borderId="10" xfId="0" applyFont="1" applyFill="1" applyBorder="1" applyAlignment="1">
      <alignment wrapText="1"/>
    </xf>
    <xf numFmtId="0" fontId="2" fillId="5" borderId="16" xfId="0" applyFont="1" applyFill="1" applyBorder="1" applyAlignment="1">
      <alignment wrapText="1"/>
    </xf>
    <xf numFmtId="0" fontId="2" fillId="5" borderId="17" xfId="0" applyFont="1" applyFill="1" applyBorder="1" applyAlignment="1">
      <alignment wrapText="1"/>
    </xf>
    <xf numFmtId="0" fontId="2" fillId="5" borderId="18" xfId="0" applyFont="1" applyFill="1" applyBorder="1" applyAlignment="1">
      <alignment wrapText="1"/>
    </xf>
    <xf numFmtId="0" fontId="2" fillId="5" borderId="19" xfId="0" applyFont="1" applyFill="1" applyBorder="1" applyAlignment="1">
      <alignment wrapText="1"/>
    </xf>
    <xf numFmtId="0" fontId="24" fillId="0" borderId="25" xfId="0" applyFont="1" applyBorder="1" applyAlignment="1">
      <alignment horizontal="left" vertical="top" wrapText="1"/>
    </xf>
    <xf numFmtId="0" fontId="24" fillId="0" borderId="8" xfId="0" applyFont="1" applyBorder="1" applyAlignment="1">
      <alignment horizontal="left" vertical="top" wrapText="1"/>
    </xf>
    <xf numFmtId="0" fontId="24" fillId="0" borderId="3" xfId="0" applyFont="1" applyBorder="1" applyAlignment="1">
      <alignment horizontal="left" vertical="top" wrapText="1"/>
    </xf>
    <xf numFmtId="0" fontId="2" fillId="0" borderId="10" xfId="0" applyFont="1" applyBorder="1" applyAlignment="1">
      <alignment horizontal="left"/>
    </xf>
    <xf numFmtId="0" fontId="54" fillId="13" borderId="24" xfId="0" applyFont="1" applyFill="1" applyBorder="1" applyAlignment="1">
      <alignment horizontal="left" vertical="top" wrapText="1"/>
    </xf>
    <xf numFmtId="0" fontId="54" fillId="13" borderId="4" xfId="0" applyFont="1" applyFill="1" applyBorder="1" applyAlignment="1">
      <alignment horizontal="left" vertical="top" wrapText="1"/>
    </xf>
    <xf numFmtId="0" fontId="54" fillId="13" borderId="2" xfId="0" applyFont="1" applyFill="1" applyBorder="1" applyAlignment="1">
      <alignment horizontal="left" vertical="top"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7" xfId="0" applyFont="1" applyBorder="1" applyAlignment="1">
      <alignment horizontal="left" vertical="top" wrapText="1"/>
    </xf>
    <xf numFmtId="0" fontId="3" fillId="13" borderId="32" xfId="0" applyFont="1" applyFill="1" applyBorder="1" applyAlignment="1">
      <alignment horizontal="left" vertical="top" wrapText="1"/>
    </xf>
    <xf numFmtId="0" fontId="3" fillId="13" borderId="33" xfId="0" applyFont="1" applyFill="1" applyBorder="1" applyAlignment="1">
      <alignment horizontal="left" vertical="top" wrapText="1"/>
    </xf>
    <xf numFmtId="0" fontId="3" fillId="13" borderId="34" xfId="0" applyFont="1" applyFill="1" applyBorder="1" applyAlignment="1">
      <alignment horizontal="left" vertical="top" wrapText="1"/>
    </xf>
    <xf numFmtId="0" fontId="32" fillId="13" borderId="33" xfId="0" applyFont="1" applyFill="1" applyBorder="1" applyAlignment="1">
      <alignment horizontal="left" vertical="top" wrapText="1"/>
    </xf>
    <xf numFmtId="0" fontId="32" fillId="13" borderId="34" xfId="0" applyFont="1" applyFill="1" applyBorder="1" applyAlignment="1">
      <alignment horizontal="left" vertical="top" wrapText="1"/>
    </xf>
    <xf numFmtId="0" fontId="3" fillId="13" borderId="24" xfId="0" applyFont="1" applyFill="1" applyBorder="1" applyAlignment="1">
      <alignment vertical="top" wrapText="1"/>
    </xf>
    <xf numFmtId="0" fontId="3" fillId="13" borderId="4" xfId="0" applyFont="1" applyFill="1" applyBorder="1" applyAlignment="1">
      <alignment vertical="top" wrapText="1"/>
    </xf>
    <xf numFmtId="0" fontId="3" fillId="13" borderId="2" xfId="0" applyFont="1" applyFill="1" applyBorder="1" applyAlignment="1">
      <alignment vertical="top" wrapText="1"/>
    </xf>
    <xf numFmtId="0" fontId="32" fillId="13" borderId="32" xfId="0" applyFont="1" applyFill="1" applyBorder="1" applyAlignment="1">
      <alignment horizontal="left" vertical="top" wrapText="1"/>
    </xf>
    <xf numFmtId="0" fontId="2" fillId="3" borderId="28" xfId="0" applyFont="1" applyFill="1" applyBorder="1" applyAlignment="1">
      <alignment wrapText="1"/>
    </xf>
    <xf numFmtId="0" fontId="24" fillId="0" borderId="24" xfId="0" applyFont="1" applyBorder="1" applyAlignment="1">
      <alignment horizontal="left" vertical="top" wrapText="1"/>
    </xf>
    <xf numFmtId="0" fontId="24"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25" xfId="0" applyFont="1" applyBorder="1" applyAlignment="1">
      <alignment vertical="top" wrapText="1"/>
    </xf>
    <xf numFmtId="0" fontId="24" fillId="0" borderId="8" xfId="0" applyFont="1" applyBorder="1" applyAlignment="1">
      <alignment vertical="top" wrapText="1"/>
    </xf>
    <xf numFmtId="0" fontId="24" fillId="0" borderId="3" xfId="0" applyFont="1" applyBorder="1" applyAlignment="1">
      <alignment vertical="top" wrapText="1"/>
    </xf>
    <xf numFmtId="0" fontId="31" fillId="0" borderId="0" xfId="1" applyFont="1" applyFill="1" applyBorder="1" applyAlignment="1">
      <alignment vertical="center"/>
    </xf>
    <xf numFmtId="0" fontId="33" fillId="13" borderId="9" xfId="0" applyFont="1" applyFill="1" applyBorder="1" applyAlignment="1">
      <alignment horizontal="left" vertical="top" wrapText="1"/>
    </xf>
    <xf numFmtId="0" fontId="33" fillId="13" borderId="30" xfId="0" applyFont="1" applyFill="1" applyBorder="1" applyAlignment="1">
      <alignment horizontal="left" vertical="top" wrapText="1"/>
    </xf>
    <xf numFmtId="0" fontId="33" fillId="13" borderId="31" xfId="0" applyFont="1" applyFill="1" applyBorder="1" applyAlignment="1">
      <alignment horizontal="left" vertical="top" wrapText="1"/>
    </xf>
    <xf numFmtId="0" fontId="32" fillId="13" borderId="9" xfId="0" applyFont="1" applyFill="1" applyBorder="1" applyAlignment="1">
      <alignment horizontal="left" vertical="top" wrapText="1"/>
    </xf>
    <xf numFmtId="0" fontId="32" fillId="13" borderId="30" xfId="0" applyFont="1" applyFill="1" applyBorder="1" applyAlignment="1">
      <alignment horizontal="left" vertical="top" wrapText="1"/>
    </xf>
    <xf numFmtId="0" fontId="32" fillId="13" borderId="31" xfId="0" applyFont="1" applyFill="1" applyBorder="1" applyAlignment="1">
      <alignment horizontal="left" vertical="top" wrapText="1"/>
    </xf>
    <xf numFmtId="0" fontId="3" fillId="13" borderId="9" xfId="0" applyFont="1" applyFill="1" applyBorder="1" applyAlignment="1">
      <alignment horizontal="left" vertical="top" wrapText="1"/>
    </xf>
    <xf numFmtId="0" fontId="3" fillId="13" borderId="30" xfId="0" applyFont="1" applyFill="1" applyBorder="1" applyAlignment="1">
      <alignment horizontal="left" vertical="top" wrapText="1"/>
    </xf>
    <xf numFmtId="0" fontId="3" fillId="13" borderId="31" xfId="0" applyFont="1" applyFill="1" applyBorder="1" applyAlignment="1">
      <alignment horizontal="left" vertical="top" wrapText="1"/>
    </xf>
    <xf numFmtId="0" fontId="3" fillId="6" borderId="24" xfId="0" applyFont="1" applyFill="1" applyBorder="1" applyAlignment="1">
      <alignment horizontal="center" wrapText="1"/>
    </xf>
    <xf numFmtId="0" fontId="3" fillId="6" borderId="4" xfId="0" applyFont="1" applyFill="1" applyBorder="1" applyAlignment="1">
      <alignment horizontal="center" wrapText="1"/>
    </xf>
    <xf numFmtId="0" fontId="3" fillId="0" borderId="34" xfId="0" applyFont="1" applyBorder="1" applyAlignment="1">
      <alignment horizontal="left" vertical="top" wrapText="1"/>
    </xf>
    <xf numFmtId="0" fontId="4" fillId="11" borderId="0" xfId="0" applyFont="1" applyFill="1" applyAlignment="1">
      <alignment wrapText="1"/>
    </xf>
    <xf numFmtId="0" fontId="16" fillId="10" borderId="0" xfId="0" applyFont="1" applyFill="1" applyAlignment="1">
      <alignment wrapText="1"/>
    </xf>
    <xf numFmtId="0" fontId="5" fillId="10" borderId="0" xfId="0" applyFont="1" applyFill="1" applyAlignment="1">
      <alignment wrapText="1"/>
    </xf>
    <xf numFmtId="0" fontId="8" fillId="10" borderId="0" xfId="1" applyFill="1" applyBorder="1" applyAlignment="1">
      <alignment wrapText="1"/>
    </xf>
    <xf numFmtId="0" fontId="11" fillId="10" borderId="0" xfId="0" applyFont="1" applyFill="1" applyAlignment="1">
      <alignment wrapText="1"/>
    </xf>
    <xf numFmtId="0" fontId="6" fillId="10" borderId="0" xfId="0" applyFont="1" applyFill="1" applyAlignment="1">
      <alignment wrapText="1"/>
    </xf>
    <xf numFmtId="0" fontId="16" fillId="10" borderId="12" xfId="0" applyFont="1" applyFill="1" applyBorder="1" applyAlignment="1">
      <alignment wrapText="1"/>
    </xf>
    <xf numFmtId="0" fontId="9" fillId="0" borderId="7" xfId="0" applyFont="1" applyBorder="1" applyAlignment="1">
      <alignment horizontal="center" vertical="center"/>
    </xf>
    <xf numFmtId="0" fontId="4" fillId="29" borderId="5" xfId="0" applyFont="1" applyFill="1" applyBorder="1" applyAlignment="1">
      <alignment horizontal="center" vertical="top"/>
    </xf>
    <xf numFmtId="0" fontId="4" fillId="29" borderId="11" xfId="0" applyFont="1" applyFill="1" applyBorder="1" applyAlignment="1">
      <alignment horizontal="center" vertical="top"/>
    </xf>
    <xf numFmtId="0" fontId="4" fillId="29" borderId="6" xfId="0" applyFont="1" applyFill="1" applyBorder="1" applyAlignment="1">
      <alignment horizontal="center" vertical="top"/>
    </xf>
    <xf numFmtId="0" fontId="68" fillId="29" borderId="39" xfId="0" applyFont="1" applyFill="1" applyBorder="1" applyAlignment="1">
      <alignment horizontal="center" vertical="top" wrapText="1"/>
    </xf>
    <xf numFmtId="0" fontId="68" fillId="29" borderId="46" xfId="0" applyFont="1" applyFill="1" applyBorder="1" applyAlignment="1">
      <alignment horizontal="center" vertical="top" wrapText="1"/>
    </xf>
    <xf numFmtId="0" fontId="68" fillId="29" borderId="21" xfId="0" applyFont="1" applyFill="1" applyBorder="1" applyAlignment="1">
      <alignment horizontal="center" vertical="top" wrapText="1"/>
    </xf>
    <xf numFmtId="0" fontId="37" fillId="15" borderId="35" xfId="0" applyFont="1" applyFill="1" applyBorder="1" applyAlignment="1">
      <alignment horizontal="center" vertical="top" wrapText="1"/>
    </xf>
    <xf numFmtId="0" fontId="35" fillId="16" borderId="36" xfId="0" applyFont="1" applyFill="1" applyBorder="1" applyAlignment="1">
      <alignment horizontal="center" vertical="top"/>
    </xf>
    <xf numFmtId="0" fontId="35" fillId="16" borderId="37" xfId="0" applyFont="1" applyFill="1" applyBorder="1" applyAlignment="1">
      <alignment horizontal="center" vertical="top"/>
    </xf>
    <xf numFmtId="0" fontId="34" fillId="15" borderId="35" xfId="0" applyFont="1" applyFill="1" applyBorder="1" applyAlignment="1">
      <alignment horizontal="center" vertical="top" wrapText="1"/>
    </xf>
    <xf numFmtId="0" fontId="6" fillId="0" borderId="0" xfId="0" applyFont="1" applyAlignment="1">
      <alignment wrapText="1"/>
    </xf>
    <xf numFmtId="0" fontId="5" fillId="0" borderId="13" xfId="0" applyFont="1" applyBorder="1" applyAlignment="1">
      <alignment vertical="center" wrapText="1"/>
    </xf>
    <xf numFmtId="0" fontId="5" fillId="0" borderId="29" xfId="0" applyFont="1" applyBorder="1" applyAlignment="1">
      <alignment horizontal="left" vertical="top" wrapText="1"/>
    </xf>
    <xf numFmtId="0" fontId="5" fillId="0" borderId="22" xfId="0" applyFont="1" applyBorder="1" applyAlignment="1">
      <alignment horizontal="left" vertical="top" wrapText="1"/>
    </xf>
    <xf numFmtId="0" fontId="5" fillId="0" borderId="29" xfId="0" applyFont="1" applyBorder="1" applyAlignment="1">
      <alignment horizontal="center"/>
    </xf>
    <xf numFmtId="0" fontId="0" fillId="0" borderId="22" xfId="0" applyBorder="1" applyAlignment="1">
      <alignment horizontal="center"/>
    </xf>
    <xf numFmtId="0" fontId="57" fillId="20" borderId="29" xfId="5" applyFont="1" applyFill="1" applyBorder="1" applyAlignment="1">
      <alignment horizontal="center"/>
    </xf>
    <xf numFmtId="0" fontId="57" fillId="20" borderId="13" xfId="5" applyFont="1" applyFill="1" applyBorder="1" applyAlignment="1">
      <alignment horizontal="center"/>
    </xf>
    <xf numFmtId="0" fontId="70" fillId="0" borderId="0" xfId="1" applyFont="1" applyFill="1" applyBorder="1" applyAlignment="1">
      <alignment horizontal="center"/>
    </xf>
    <xf numFmtId="0" fontId="22" fillId="0" borderId="24"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3" fillId="0" borderId="53" xfId="0" applyFont="1" applyBorder="1" applyAlignment="1">
      <alignment horizontal="left" wrapText="1"/>
    </xf>
    <xf numFmtId="0" fontId="3" fillId="0" borderId="54" xfId="0" applyFont="1" applyBorder="1" applyAlignment="1">
      <alignment horizontal="left" wrapText="1"/>
    </xf>
    <xf numFmtId="0" fontId="3" fillId="0" borderId="19" xfId="0" applyFont="1" applyBorder="1" applyAlignment="1">
      <alignment horizontal="left" wrapText="1"/>
    </xf>
    <xf numFmtId="0" fontId="2" fillId="8" borderId="55" xfId="0" applyFont="1" applyFill="1" applyBorder="1" applyAlignment="1">
      <alignment wrapText="1"/>
    </xf>
    <xf numFmtId="0" fontId="2" fillId="8" borderId="56" xfId="0" applyFont="1" applyFill="1" applyBorder="1" applyAlignment="1">
      <alignment wrapText="1"/>
    </xf>
    <xf numFmtId="0" fontId="2" fillId="8" borderId="57" xfId="0" applyFont="1" applyFill="1" applyBorder="1" applyAlignment="1">
      <alignment wrapText="1"/>
    </xf>
    <xf numFmtId="0" fontId="2" fillId="8" borderId="58" xfId="0" applyFont="1" applyFill="1" applyBorder="1" applyAlignment="1">
      <alignment wrapText="1"/>
    </xf>
    <xf numFmtId="0" fontId="2" fillId="8" borderId="0" xfId="0" applyFont="1" applyFill="1" applyAlignment="1">
      <alignment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24"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1" fillId="0" borderId="0" xfId="1" applyFont="1" applyFill="1" applyBorder="1" applyAlignment="1">
      <alignment horizontal="center"/>
    </xf>
    <xf numFmtId="0" fontId="22" fillId="0" borderId="4" xfId="0" applyFont="1" applyBorder="1" applyAlignment="1">
      <alignment vertical="top" wrapText="1"/>
    </xf>
    <xf numFmtId="0" fontId="22" fillId="0" borderId="2" xfId="0" applyFont="1" applyBorder="1" applyAlignment="1">
      <alignment vertical="top" wrapText="1"/>
    </xf>
    <xf numFmtId="0" fontId="3" fillId="0" borderId="32" xfId="0" applyFont="1" applyBorder="1" applyAlignment="1">
      <alignment wrapText="1"/>
    </xf>
    <xf numFmtId="0" fontId="3" fillId="0" borderId="33" xfId="0" applyFont="1" applyBorder="1" applyAlignment="1">
      <alignment wrapText="1"/>
    </xf>
    <xf numFmtId="0" fontId="3" fillId="0" borderId="34" xfId="0" applyFont="1" applyBorder="1" applyAlignment="1">
      <alignment wrapText="1"/>
    </xf>
    <xf numFmtId="0" fontId="2" fillId="7" borderId="5" xfId="0" applyFont="1" applyFill="1" applyBorder="1" applyAlignment="1">
      <alignment wrapText="1"/>
    </xf>
    <xf numFmtId="0" fontId="2" fillId="7" borderId="20" xfId="0" applyFont="1" applyFill="1" applyBorder="1" applyAlignment="1">
      <alignment wrapText="1"/>
    </xf>
    <xf numFmtId="0" fontId="2" fillId="0" borderId="5" xfId="0" applyFont="1" applyBorder="1" applyAlignment="1">
      <alignment wrapText="1"/>
    </xf>
    <xf numFmtId="0" fontId="3" fillId="17" borderId="24" xfId="0" applyFont="1" applyFill="1" applyBorder="1" applyAlignment="1">
      <alignment horizontal="left" vertical="top" wrapText="1"/>
    </xf>
    <xf numFmtId="0" fontId="3" fillId="17" borderId="4" xfId="0" applyFont="1" applyFill="1" applyBorder="1" applyAlignment="1">
      <alignment horizontal="left" vertical="top" wrapText="1"/>
    </xf>
    <xf numFmtId="0" fontId="3" fillId="17" borderId="2" xfId="0" applyFont="1" applyFill="1" applyBorder="1" applyAlignment="1">
      <alignment horizontal="left" vertical="top" wrapText="1"/>
    </xf>
    <xf numFmtId="0" fontId="22" fillId="0" borderId="24" xfId="0" applyFont="1" applyBorder="1" applyAlignment="1">
      <alignment horizontal="left" vertical="top"/>
    </xf>
    <xf numFmtId="0" fontId="22" fillId="0" borderId="4" xfId="0" applyFont="1" applyBorder="1" applyAlignment="1">
      <alignment horizontal="left" vertical="top"/>
    </xf>
    <xf numFmtId="0" fontId="22" fillId="0" borderId="2" xfId="0" applyFont="1" applyBorder="1" applyAlignment="1">
      <alignment horizontal="left" vertical="top"/>
    </xf>
    <xf numFmtId="0" fontId="32" fillId="6" borderId="24" xfId="0" applyFont="1" applyFill="1" applyBorder="1" applyAlignment="1">
      <alignment horizontal="left" vertical="top" wrapText="1"/>
    </xf>
    <xf numFmtId="0" fontId="32" fillId="6" borderId="4" xfId="0" applyFont="1" applyFill="1" applyBorder="1" applyAlignment="1">
      <alignment horizontal="left" vertical="top" wrapText="1"/>
    </xf>
    <xf numFmtId="0" fontId="32" fillId="6" borderId="2" xfId="0" applyFont="1" applyFill="1" applyBorder="1" applyAlignment="1">
      <alignment horizontal="left" vertical="top" wrapText="1"/>
    </xf>
    <xf numFmtId="0" fontId="2" fillId="7" borderId="7" xfId="0" applyFont="1" applyFill="1" applyBorder="1" applyAlignment="1">
      <alignment wrapText="1"/>
    </xf>
    <xf numFmtId="0" fontId="3" fillId="17" borderId="24" xfId="0" applyFont="1" applyFill="1" applyBorder="1" applyAlignment="1">
      <alignment vertical="top" wrapText="1"/>
    </xf>
    <xf numFmtId="0" fontId="3" fillId="17" borderId="4" xfId="0" applyFont="1" applyFill="1" applyBorder="1" applyAlignment="1">
      <alignment vertical="top" wrapText="1"/>
    </xf>
    <xf numFmtId="0" fontId="3" fillId="17" borderId="2" xfId="0" applyFont="1" applyFill="1" applyBorder="1" applyAlignment="1">
      <alignment vertical="top" wrapText="1"/>
    </xf>
    <xf numFmtId="0" fontId="2" fillId="7" borderId="11" xfId="0" applyFont="1" applyFill="1" applyBorder="1" applyAlignment="1">
      <alignment wrapText="1"/>
    </xf>
    <xf numFmtId="0" fontId="2" fillId="7" borderId="14" xfId="0" applyFont="1" applyFill="1" applyBorder="1" applyAlignment="1">
      <alignment wrapText="1"/>
    </xf>
    <xf numFmtId="0" fontId="33" fillId="0" borderId="0" xfId="0" applyFont="1" applyAlignment="1">
      <alignment wrapText="1"/>
    </xf>
    <xf numFmtId="0" fontId="33" fillId="0" borderId="32" xfId="0" applyFont="1" applyBorder="1" applyAlignment="1">
      <alignment horizontal="center" wrapText="1"/>
    </xf>
    <xf numFmtId="0" fontId="62" fillId="22" borderId="44" xfId="0" applyFont="1" applyFill="1" applyBorder="1" applyAlignment="1"/>
    <xf numFmtId="0" fontId="62" fillId="22" borderId="45" xfId="0" applyFont="1" applyFill="1" applyBorder="1" applyAlignment="1"/>
    <xf numFmtId="0" fontId="62" fillId="22" borderId="46" xfId="0" applyFont="1" applyFill="1" applyBorder="1" applyAlignment="1"/>
    <xf numFmtId="0" fontId="62" fillId="22" borderId="21" xfId="0" applyFont="1" applyFill="1" applyBorder="1" applyAlignment="1"/>
  </cellXfs>
  <cellStyles count="7">
    <cellStyle name="Comma" xfId="3" builtinId="3"/>
    <cellStyle name="Comma 2" xfId="6" xr:uid="{8C00AC44-274C-45B1-A64D-7B8D79F4379D}"/>
    <cellStyle name="Hyperlink" xfId="1" builtinId="8"/>
    <cellStyle name="Normal" xfId="0" builtinId="0"/>
    <cellStyle name="Normal 2" xfId="2" xr:uid="{00000000-0005-0000-0000-000002000000}"/>
    <cellStyle name="Normal 3" xfId="5" xr:uid="{A0C28053-079F-4690-92DB-18B96FDB443C}"/>
    <cellStyle name="Per cent" xfId="4"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031773" y="-3204394"/>
          <a:ext cx="639346" cy="7048134"/>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3827379" y="31210"/>
        <a:ext cx="7016924" cy="576926"/>
      </dsp:txXfrm>
    </dsp:sp>
    <dsp:sp modelId="{D9358AAB-2C9F-4E49-A488-52DE7BF636A0}">
      <dsp:nvSpPr>
        <dsp:cNvPr id="0" name=""/>
        <dsp:cNvSpPr/>
      </dsp:nvSpPr>
      <dsp:spPr>
        <a:xfrm>
          <a:off x="38842" y="22971"/>
          <a:ext cx="3938096" cy="675355"/>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1810" y="55939"/>
        <a:ext cx="3872160" cy="609419"/>
      </dsp:txXfrm>
    </dsp:sp>
    <dsp:sp modelId="{FFAFAE02-AC8A-4F02-B13E-E94DA9661EC7}">
      <dsp:nvSpPr>
        <dsp:cNvPr id="0" name=""/>
        <dsp:cNvSpPr/>
      </dsp:nvSpPr>
      <dsp:spPr>
        <a:xfrm rot="5400000">
          <a:off x="6792745" y="-1899031"/>
          <a:ext cx="1419277" cy="6966084"/>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019342" y="943655"/>
        <a:ext cx="6896801" cy="1280711"/>
      </dsp:txXfrm>
    </dsp:sp>
    <dsp:sp modelId="{62DFBC7E-F30C-4C73-8E7F-9CE9940D62C0}">
      <dsp:nvSpPr>
        <dsp:cNvPr id="0" name=""/>
        <dsp:cNvSpPr/>
      </dsp:nvSpPr>
      <dsp:spPr>
        <a:xfrm>
          <a:off x="0" y="780566"/>
          <a:ext cx="4019322" cy="1606888"/>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8442" y="859008"/>
        <a:ext cx="3862438" cy="1450004"/>
      </dsp:txXfrm>
    </dsp:sp>
    <dsp:sp modelId="{B4EC6253-D93E-4DF2-82AC-8AAC9DDF4AD0}">
      <dsp:nvSpPr>
        <dsp:cNvPr id="0" name=""/>
        <dsp:cNvSpPr/>
      </dsp:nvSpPr>
      <dsp:spPr>
        <a:xfrm rot="5400000">
          <a:off x="6737179" y="-92317"/>
          <a:ext cx="1666875" cy="684242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149404" y="2576828"/>
        <a:ext cx="6761056" cy="1504135"/>
      </dsp:txXfrm>
    </dsp:sp>
    <dsp:sp modelId="{39A80AFA-BF50-4A5D-BCCD-9387E4DEA36A}">
      <dsp:nvSpPr>
        <dsp:cNvPr id="0" name=""/>
        <dsp:cNvSpPr/>
      </dsp:nvSpPr>
      <dsp:spPr>
        <a:xfrm>
          <a:off x="19" y="2491634"/>
          <a:ext cx="4149384" cy="1674521"/>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1762" y="2573377"/>
        <a:ext cx="3985898" cy="1511035"/>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1343025</xdr:colOff>
      <xdr:row>0</xdr:row>
      <xdr:rowOff>161925</xdr:rowOff>
    </xdr:from>
    <xdr:to>
      <xdr:col>11</xdr:col>
      <xdr:colOff>704850</xdr:colOff>
      <xdr:row>2</xdr:row>
      <xdr:rowOff>276225</xdr:rowOff>
    </xdr:to>
    <xdr:sp macro="" textlink="">
      <xdr:nvSpPr>
        <xdr:cNvPr id="2" name="TextBox 1">
          <a:extLst>
            <a:ext uri="{FF2B5EF4-FFF2-40B4-BE49-F238E27FC236}">
              <a16:creationId xmlns:a16="http://schemas.microsoft.com/office/drawing/2014/main" id="{218C8AF0-810A-48F0-8993-5397AF82D0CF}"/>
            </a:ext>
          </a:extLst>
        </xdr:cNvPr>
        <xdr:cNvSpPr txBox="1"/>
      </xdr:nvSpPr>
      <xdr:spPr>
        <a:xfrm>
          <a:off x="16862425" y="161925"/>
          <a:ext cx="3705225" cy="469900"/>
        </a:xfrm>
        <a:prstGeom prst="rect">
          <a:avLst/>
        </a:prstGeom>
        <a:ln/>
      </xdr:spPr>
      <xdr:style>
        <a:lnRef idx="2">
          <a:schemeClr val="accent6">
            <a:shade val="15000"/>
          </a:schemeClr>
        </a:lnRef>
        <a:fillRef idx="1">
          <a:schemeClr val="accent6"/>
        </a:fillRef>
        <a:effectRef idx="0">
          <a:schemeClr val="accent6"/>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cs typeface="Calibri" panose="020F0502020204030204" pitchFamily="34" charset="0"/>
            </a:rPr>
            <a:t>Most updated LF as from 01 November 2024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2543175</xdr:colOff>
      <xdr:row>1</xdr:row>
      <xdr:rowOff>180975</xdr:rowOff>
    </xdr:to>
    <xdr:sp macro="" textlink="">
      <xdr:nvSpPr>
        <xdr:cNvPr id="2" name="TextBox 1">
          <a:extLst>
            <a:ext uri="{FF2B5EF4-FFF2-40B4-BE49-F238E27FC236}">
              <a16:creationId xmlns:a16="http://schemas.microsoft.com/office/drawing/2014/main" id="{965CEF48-86BC-B56A-9986-079151BA3F1F}"/>
            </a:ext>
          </a:extLst>
        </xdr:cNvPr>
        <xdr:cNvSpPr txBox="1"/>
      </xdr:nvSpPr>
      <xdr:spPr>
        <a:xfrm>
          <a:off x="19516725" y="0"/>
          <a:ext cx="3362325" cy="409575"/>
        </a:xfrm>
        <a:prstGeom prst="rect">
          <a:avLst/>
        </a:prstGeom>
        <a:ln/>
      </xdr:spPr>
      <xdr:style>
        <a:lnRef idx="2">
          <a:schemeClr val="accent6">
            <a:shade val="15000"/>
          </a:schemeClr>
        </a:lnRef>
        <a:fillRef idx="1">
          <a:schemeClr val="accent6"/>
        </a:fillRef>
        <a:effectRef idx="0">
          <a:schemeClr val="accent6"/>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cs typeface="Calibri" panose="020F0502020204030204" pitchFamily="34" charset="0"/>
            </a:rPr>
            <a:t>Most updated LF as from 01 November 2024</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abdirmohamed_unicef_org/Documents/Health%20section%20work%202024/Handover%20file%20@khalif/2.%20Better%20Lives/BL%20Logframe%202024/BL%20Partners%20Logframe%20and%20Catchment%20population.xlsx" TargetMode="External"/><Relationship Id="rId2" Type="http://schemas.openxmlformats.org/officeDocument/2006/relationships/externalLinkPath" Target="https://unicef-my.sharepoint.com/personal/abdirmohamed_unicef_org/Documents/Health%20section%20work%202024/Handover%20file%20@khalif/2.%20Better%20Lives/BL%20Logframe%202024/BL%20Partners%20Logframe%20and%20Catchment%20population.xlsx" TargetMode="External"/><Relationship Id="rId1" Type="http://schemas.openxmlformats.org/officeDocument/2006/relationships/externalLinkPath" Target="/personal/abdirmohamed_unicef_org/Documents/Health%20section%20work%202024/Handover%20file%20@khalif/2.%20Better%20Lives/BL%20Logframe%202024/BL%20Partners%20Logframe%20and%20Catchment%20populati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cogovuk-my.sharepoint.com/personal/maimuna_abdalla_fcdo_gov_uk/Documents/Documents/Humanitarian%20cover%202025/Better%20Lives/Log%20Frame%20April%202026/Better%20Lives%20programme%20Logframe%20July%202025.xlsx" TargetMode="External"/><Relationship Id="rId1" Type="http://schemas.openxmlformats.org/officeDocument/2006/relationships/externalLinkPath" Target="Better%20Lives%20programme%20Logframe%20July%20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nicef-my.sharepoint.com/personal/abdirmohamed_unicef_org/Documents/Health%20section%20work%202024/Handover%20file%20@khalif/2.%20Better%20Lives/BL%20Logframe%202024/BL%20Partners%20Logframe%20and%20Catchment%20population.xlsx" TargetMode="External"/><Relationship Id="rId1" Type="http://schemas.openxmlformats.org/officeDocument/2006/relationships/externalLinkPath" Target="https://unicef-my.sharepoint.com/personal/abdirmohamed_unicef_org/Documents/Health%20section%20work%202024/Handover%20file%20@khalif/2.%20Better%20Lives/BL%20Logframe%202024/BL%20Partners%20Logframe%20and%20Catchment%20pop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WWTCPGtXka_2irkwUI8FzXOy6DlOLVIgN3lMxoYFQO2poyxVEtuQKKaVDtfGNku" itemId="01REHHNDVJBQVJHHDN3RA2SLBGXYQM32BI">
      <xxl21:absoluteUrl r:id="rId2"/>
      <xxl21:relativeUrl r:id="rId3"/>
    </xxl21:alternateUrls>
    <sheetNames>
      <sheetName val="Trocare Logframe"/>
      <sheetName val="ACF Logframe"/>
      <sheetName val="M-USA Logframe"/>
      <sheetName val="Updated List-partners"/>
      <sheetName val="Catchment Population"/>
      <sheetName val="Q3 data"/>
      <sheetName val="April-Dec data"/>
    </sheetNames>
    <sheetDataSet>
      <sheetData sheetId="0"/>
      <sheetData sheetId="1"/>
      <sheetData sheetId="2"/>
      <sheetData sheetId="3"/>
      <sheetData sheetId="4">
        <row r="93">
          <cell r="J93">
            <v>1144572</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Notes"/>
      <sheetName val="Indicator formulation"/>
      <sheetName val="Change frame"/>
      <sheetName val="Logframe UNICEF-FCDO- Final"/>
      <sheetName val="Logframe Partners"/>
      <sheetName val="Catchment Population"/>
    </sheetNames>
    <sheetDataSet>
      <sheetData sheetId="0"/>
      <sheetData sheetId="1"/>
      <sheetData sheetId="2"/>
      <sheetData sheetId="3"/>
      <sheetData sheetId="4"/>
      <sheetData sheetId="5">
        <row r="90">
          <cell r="I90">
            <v>1144532</v>
          </cell>
          <cell r="J90">
            <v>43451</v>
          </cell>
          <cell r="L90">
            <v>51459</v>
          </cell>
          <cell r="M90">
            <v>45738</v>
          </cell>
          <cell r="N90">
            <v>251759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WWTCPGtXka_2irkwUI8FzXOy6DlOLVIgN3lMxoYFQO2poyxVEtuQKKaVDtfGNku" itemId="01REHHNDVJBQVJHHDN3RA2SLBGXYQM32BI">
      <xxl21:absoluteUrl r:id="rId2"/>
    </xxl21:alternateUrls>
    <sheetNames>
      <sheetName val="Trocare Logframe"/>
      <sheetName val="ACF Logframe"/>
      <sheetName val="M-USA Logframe"/>
      <sheetName val="Updated List-partners"/>
      <sheetName val="Catchment Population"/>
      <sheetName val="Q3 data"/>
      <sheetName val="April-Dec data"/>
    </sheetNames>
    <sheetDataSet>
      <sheetData sheetId="0"/>
      <sheetData sheetId="1"/>
      <sheetData sheetId="2"/>
      <sheetData sheetId="3"/>
      <sheetData sheetId="4">
        <row r="93">
          <cell r="J93">
            <v>1144572</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Khadija Abdalla" id="{C036DEF8-648D-4586-B839-4BEBC98EA3E9}" userId="S::kabdalla@unicef.org::e52e9b4d-22b2-4dd9-99b7-4d8c509828f5" providerId="AD"/>
  <person displayName="Khalif Abdikadir" id="{EECF97A2-1614-469D-B520-88CE75BB56DB}" userId="S::kabdikadir@unicef.org::635d02a2-d92a-4a36-ba2c-269b8361d023" providerId="AD"/>
  <person displayName="Abdirahman Mohamed" id="{CB2FEC2F-F6BE-4CE5-843B-E165E18F2D4A}" userId="S::abdirmohamed@unicef.org::99e77b23-39ee-4488-a52e-7fd5e36e195e" providerId="AD"/>
  <person displayName="Caroline Mwangi" id="{2640FEF5-770F-4C8D-B32F-D04B3E7C5E82}" userId="S::caroline.mwangi@fcdo.gov.uk::f271b06c-d475-4a0c-bd0b-e9374b88113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6" dT="2024-09-18T13:40:50.17" personId="{CB2FEC2F-F6BE-4CE5-843B-E165E18F2D4A}" id="{70ADB65E-0990-470E-A8F0-798421CDED5D}">
    <text xml:space="preserve">Discuss in the next quarterly review with the partners and government </text>
  </threadedComment>
  <threadedComment ref="B34" dT="2025-04-28T11:24:31.81" personId="{2640FEF5-770F-4C8D-B32F-D04B3E7C5E82}" id="{F8EF3115-CC84-4F0B-B301-2CD5E0EB1E74}">
    <text>To be reported bi-annually or annually as is dependent on TPM exercises</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4-09-18T09:33:03.07" personId="{EECF97A2-1614-469D-B520-88CE75BB56DB}" id="{44493902-BC7B-457E-91CF-5813C54BE22B}">
    <text>April 2022 - March 2023</text>
  </threadedComment>
  <threadedComment ref="A7" dT="2024-10-30T07:26:05.05" personId="{EECF97A2-1614-469D-B520-88CE75BB56DB}" id="{4F7C1A83-96AD-4375-836F-908671A636A4}">
    <text>Impact not mandated for UNICEF</text>
  </threadedComment>
  <threadedComment ref="D7" dT="2024-10-30T07:30:25.13" personId="{EECF97A2-1614-469D-B520-88CE75BB56DB}" id="{8FD349AC-A584-4E89-BBB5-9D64B0418A83}">
    <text>Source: World Bank Group</text>
  </threadedComment>
  <threadedComment ref="D12" dT="2024-10-30T07:27:14.91" personId="{EECF97A2-1614-469D-B520-88CE75BB56DB}" id="{D7FE4F7E-2E0D-4AE3-96DC-84B076063E2E}">
    <text>UN Estimate</text>
  </threadedComment>
  <threadedComment ref="B34" dT="2024-10-30T08:50:30.56" personId="{EECF97A2-1614-469D-B520-88CE75BB56DB}" id="{A4D4ED8E-CED0-4863-B26B-7D568E54AE0F}">
    <text>Partner to provide the catchment population for facilities during the revision</text>
  </threadedComment>
  <threadedComment ref="B49" dT="2024-10-30T09:17:22.62" personId="{EECF97A2-1614-469D-B520-88CE75BB56DB}" id="{C595405C-854E-4947-8EBF-E2B9AC28F373}">
    <text>This indicator will be reported at district level using the district catchment population and the district new OPD visits</text>
  </threadedComment>
  <threadedComment ref="B69" dT="2024-10-30T10:40:25.46" personId="{EECF97A2-1614-469D-B520-88CE75BB56DB}" id="{9E6A0798-A6EB-4A63-AA44-14B86F58871D}">
    <text>yearly increase of 3% across the milestones and look at trends</text>
  </threadedComment>
  <threadedComment ref="B74" dT="2024-10-30T10:41:46.84" personId="{EECF97A2-1614-469D-B520-88CE75BB56DB}" id="{90C3863E-7054-4F48-AC9F-4368E474719F}">
    <text>same as ANC-1</text>
  </threadedComment>
  <threadedComment ref="B79" dT="2024-10-30T10:42:02.73" personId="{EECF97A2-1614-469D-B520-88CE75BB56DB}" id="{04669DE4-5033-4AC0-A8C6-A73545FB83F0}">
    <text>same as ANC-1</text>
  </threadedComment>
  <threadedComment ref="B84" dT="2024-10-30T10:44:15.24" personId="{EECF97A2-1614-469D-B520-88CE75BB56DB}" id="{2060E8B4-5EE2-4BA6-A9BE-FBFDEA4C4A9A}">
    <text>Fadumo to provide total number of staff</text>
  </threadedComment>
  <threadedComment ref="B144" dT="2025-04-21T19:12:53.57" personId="{C036DEF8-648D-4586-B839-4BEBC98EA3E9}" id="{AA9DD40F-7664-4CF9-A7EF-89F754BD286B}">
    <text>Requires a survey or a rapid assessment, no data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B26" dT="2024-09-18T13:40:50.17" personId="{CB2FEC2F-F6BE-4CE5-843B-E165E18F2D4A}" id="{A601277A-8994-491F-899E-F99BBE177537}">
    <text xml:space="preserve">Discuss in the next quarterly review with the partners and government </text>
  </threadedComment>
  <threadedComment ref="B34" dT="2024-09-18T13:27:37.91" personId="{EECF97A2-1614-469D-B520-88CE75BB56DB}" id="{08AB4D3A-FEB8-4A7F-B2CF-6976FAA1EA62}">
    <text>Not to be reported on quarterly basis as it is dependent on TPM. Suggested to be conducted bi-annual/annual basis</text>
  </threadedComment>
</ThreadedComments>
</file>

<file path=xl/threadedComments/threadedComment4.xml><?xml version="1.0" encoding="utf-8"?>
<ThreadedComments xmlns="http://schemas.microsoft.com/office/spreadsheetml/2018/threadedcomments" xmlns:x="http://schemas.openxmlformats.org/spreadsheetml/2006/main">
  <threadedComment ref="D11" dT="2024-10-30T07:27:14.91" personId="{EECF97A2-1614-469D-B520-88CE75BB56DB}" id="{6DC8D7C4-8749-44A4-A226-C7496CB61B64}">
    <text>UN Estimate</text>
  </threadedComment>
  <threadedComment ref="G69" dT="2025-02-14T07:49:09.33" personId="{CB2FEC2F-F6BE-4CE5-843B-E165E18F2D4A}" id="{40CD390F-DB5F-49EE-81D8-70DDD27EACF3}">
    <text>This was initially reported as ANC1 and it’s the first time we are reporting as ANC 1 under 12 weeks</text>
  </threadedComment>
  <threadedComment ref="B131" dT="2025-04-21T19:12:08.27" personId="{C036DEF8-648D-4586-B839-4BEBC98EA3E9}" id="{A3931E92-3361-4198-93C0-4E4AF456A259}">
    <text>Data sources unavailable, to be removed</text>
  </threadedComment>
  <threadedComment ref="F142" dT="2026-04-21T19:27:23.93" personId="{C036DEF8-648D-4586-B839-4BEBC98EA3E9}" id="{BC47C6BC-4797-40D3-9C61-76FDADD197AA}">
    <text>Cummulative</text>
  </threadedComment>
  <threadedComment ref="B147" dT="2025-04-21T19:12:53.57" personId="{C036DEF8-648D-4586-B839-4BEBC98EA3E9}" id="{C1F80516-1C0A-4774-A733-ED304918DCA7}">
    <text>Requires a survey or a rapid assessment, no data available</text>
  </threadedComment>
  <threadedComment ref="E179" dT="2025-04-21T19:22:35.10" personId="{C036DEF8-648D-4586-B839-4BEBC98EA3E9}" id="{DFB2C78E-2540-4520-A8C6-757583631D6C}">
    <text>Covers half of the BL catchment population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D6" dT="2024-09-18T09:33:03.07" personId="{EECF97A2-1614-469D-B520-88CE75BB56DB}" id="{8E59E900-133F-4664-8818-233C81B32BF4}">
    <text>April 2022 - March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cogovuk.sharepoint.com/:w:/r/teams/prof/_layouts/15/Doc.aspx?action=edit&amp;sourcedoc=%7BEF61C3BC-CC20-4E1D-8CE1-35E2B26F88D8%7D&amp;web=1"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fcogovuk.sharepoint.com/:w:/r/teams/prof/_layouts/15/Doc.aspx?action=edit&amp;sourcedoc=%7B0363F50E-F3F8-4D15-997C-EF54493BE4AF%7D&amp;web=1" TargetMode="External"/><Relationship Id="rId4" Type="http://schemas.microsoft.com/office/2017/10/relationships/threadedComment" Target="../threadedComments/threadedComment5.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fcogovuk.sharepoint.com/:w:/r/teams/prof/_layouts/15/Doc.aspx?action=edit&amp;sourcedoc=%7B0363F50E-F3F8-4D15-997C-EF54493BE4AF%7D&amp;web=1"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cogovuk.sharepoint.com/:w:/r/teams/prof/_layouts/15/Doc.aspx?action=edit&amp;sourcedoc=%7B0363F50E-F3F8-4D15-997C-EF54493BE4AF%7D&amp;web=1"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topLeftCell="A38" zoomScaleNormal="100" workbookViewId="0">
      <selection activeCell="A9" sqref="A9:C9"/>
    </sheetView>
  </sheetViews>
  <sheetFormatPr defaultColWidth="9.140625" defaultRowHeight="12.6"/>
  <cols>
    <col min="1" max="1" width="67.7109375" style="3" customWidth="1"/>
    <col min="2" max="3" width="48.5703125" style="3" customWidth="1"/>
    <col min="4" max="16384" width="9.140625" style="3"/>
  </cols>
  <sheetData>
    <row r="1" spans="1:3" ht="18">
      <c r="A1" s="37" t="s">
        <v>0</v>
      </c>
      <c r="B1" s="37"/>
      <c r="C1" s="38"/>
    </row>
    <row r="2" spans="1:3">
      <c r="A2" s="38" t="s">
        <v>1</v>
      </c>
      <c r="B2" s="38"/>
      <c r="C2" s="38"/>
    </row>
    <row r="4" spans="1:3" ht="45.75" customHeight="1">
      <c r="A4" s="403" t="s">
        <v>2</v>
      </c>
      <c r="B4" s="403"/>
      <c r="C4" s="403"/>
    </row>
    <row r="5" spans="1:3" ht="42" customHeight="1">
      <c r="A5" s="47" t="s">
        <v>3</v>
      </c>
      <c r="B5" s="39" t="s">
        <v>4</v>
      </c>
      <c r="C5" s="39" t="s">
        <v>4</v>
      </c>
    </row>
    <row r="6" spans="1:3" ht="30.75" customHeight="1">
      <c r="A6" s="403" t="s">
        <v>5</v>
      </c>
      <c r="B6" s="403"/>
      <c r="C6" s="403"/>
    </row>
    <row r="7" spans="1:3" ht="33" customHeight="1">
      <c r="A7" s="405" t="s">
        <v>6</v>
      </c>
      <c r="B7" s="405"/>
      <c r="C7" s="405"/>
    </row>
    <row r="8" spans="1:3" ht="24" customHeight="1">
      <c r="A8" s="405"/>
      <c r="B8" s="405"/>
      <c r="C8" s="405"/>
    </row>
    <row r="9" spans="1:3" ht="15.6">
      <c r="A9" s="403" t="s">
        <v>7</v>
      </c>
      <c r="B9" s="403"/>
      <c r="C9" s="403"/>
    </row>
    <row r="10" spans="1:3" ht="50.45" customHeight="1">
      <c r="A10" s="405" t="s">
        <v>8</v>
      </c>
      <c r="B10" s="405"/>
      <c r="C10" s="405"/>
    </row>
    <row r="11" spans="1:3" ht="51" customHeight="1">
      <c r="A11" s="405" t="s">
        <v>9</v>
      </c>
      <c r="B11" s="405"/>
      <c r="C11" s="405"/>
    </row>
    <row r="12" spans="1:3" ht="17.45">
      <c r="A12" s="40"/>
      <c r="B12" s="39" t="s">
        <v>4</v>
      </c>
      <c r="C12" s="39" t="s">
        <v>4</v>
      </c>
    </row>
    <row r="13" spans="1:3" ht="30.75" customHeight="1">
      <c r="A13" s="403" t="s">
        <v>10</v>
      </c>
      <c r="B13" s="403"/>
      <c r="C13" s="403"/>
    </row>
    <row r="14" spans="1:3" ht="42.95" customHeight="1">
      <c r="A14" s="405" t="s">
        <v>11</v>
      </c>
      <c r="B14" s="405"/>
      <c r="C14" s="405"/>
    </row>
    <row r="15" spans="1:3" ht="25.5" customHeight="1">
      <c r="A15" s="405" t="s">
        <v>12</v>
      </c>
      <c r="B15" s="405"/>
      <c r="C15" s="405"/>
    </row>
    <row r="16" spans="1:3">
      <c r="A16" s="39" t="s">
        <v>4</v>
      </c>
      <c r="B16" s="39" t="s">
        <v>4</v>
      </c>
      <c r="C16" s="39" t="s">
        <v>4</v>
      </c>
    </row>
    <row r="17" spans="1:3" ht="61.5" customHeight="1">
      <c r="A17" s="403" t="s">
        <v>13</v>
      </c>
      <c r="B17" s="403"/>
      <c r="C17" s="403"/>
    </row>
    <row r="18" spans="1:3" ht="25.5" customHeight="1">
      <c r="A18" s="405" t="s">
        <v>14</v>
      </c>
      <c r="B18" s="405"/>
      <c r="C18" s="405"/>
    </row>
    <row r="19" spans="1:3">
      <c r="A19" s="405" t="s">
        <v>15</v>
      </c>
      <c r="B19" s="405"/>
      <c r="C19" s="405"/>
    </row>
    <row r="20" spans="1:3">
      <c r="A20" s="405" t="s">
        <v>16</v>
      </c>
      <c r="B20" s="405"/>
      <c r="C20" s="405"/>
    </row>
    <row r="21" spans="1:3" ht="12.6" customHeight="1">
      <c r="A21" s="39" t="s">
        <v>17</v>
      </c>
      <c r="B21" s="44"/>
      <c r="C21" s="44"/>
    </row>
    <row r="22" spans="1:3" ht="12.6" customHeight="1">
      <c r="A22" s="39" t="s">
        <v>18</v>
      </c>
      <c r="B22" s="44"/>
      <c r="C22" s="44"/>
    </row>
    <row r="23" spans="1:3" ht="17.45">
      <c r="A23" s="40"/>
      <c r="B23" s="40"/>
      <c r="C23" s="40"/>
    </row>
    <row r="24" spans="1:3" ht="30.75" customHeight="1">
      <c r="A24" s="403" t="s">
        <v>19</v>
      </c>
      <c r="B24" s="403"/>
      <c r="C24" s="403"/>
    </row>
    <row r="25" spans="1:3" ht="29.25" customHeight="1">
      <c r="A25" s="405" t="s">
        <v>20</v>
      </c>
      <c r="B25" s="405"/>
      <c r="C25" s="405"/>
    </row>
    <row r="26" spans="1:3" ht="54" customHeight="1">
      <c r="A26" s="405" t="s">
        <v>21</v>
      </c>
      <c r="B26" s="405"/>
      <c r="C26" s="405"/>
    </row>
    <row r="27" spans="1:3" ht="39" customHeight="1">
      <c r="A27" s="405" t="s">
        <v>22</v>
      </c>
      <c r="B27" s="405"/>
      <c r="C27" s="405"/>
    </row>
    <row r="28" spans="1:3">
      <c r="A28" s="405" t="s">
        <v>4</v>
      </c>
      <c r="B28" s="405"/>
      <c r="C28" s="405"/>
    </row>
    <row r="29" spans="1:3" ht="15.6">
      <c r="A29" s="403" t="s">
        <v>23</v>
      </c>
      <c r="B29" s="403"/>
      <c r="C29" s="403"/>
    </row>
    <row r="30" spans="1:3" ht="21" customHeight="1">
      <c r="A30" s="405" t="s">
        <v>24</v>
      </c>
      <c r="B30" s="405"/>
      <c r="C30" s="405"/>
    </row>
    <row r="31" spans="1:3">
      <c r="A31" s="39" t="s">
        <v>4</v>
      </c>
      <c r="B31" s="39" t="s">
        <v>4</v>
      </c>
      <c r="C31" s="39" t="s">
        <v>4</v>
      </c>
    </row>
    <row r="32" spans="1:3" ht="21.6" customHeight="1">
      <c r="A32" s="407" t="s">
        <v>25</v>
      </c>
      <c r="B32" s="407"/>
      <c r="C32" s="407"/>
    </row>
    <row r="33" spans="1:3" ht="12.95">
      <c r="A33" s="45" t="s">
        <v>26</v>
      </c>
      <c r="B33" s="45"/>
      <c r="C33" s="46"/>
    </row>
    <row r="34" spans="1:3" ht="12.95">
      <c r="A34" s="45" t="s">
        <v>27</v>
      </c>
      <c r="B34" s="45"/>
      <c r="C34" s="46"/>
    </row>
    <row r="35" spans="1:3" ht="12.95">
      <c r="A35" s="45" t="s">
        <v>28</v>
      </c>
      <c r="B35" s="45"/>
      <c r="C35" s="46"/>
    </row>
    <row r="36" spans="1:3" ht="12.95">
      <c r="A36" s="45" t="s">
        <v>29</v>
      </c>
      <c r="B36" s="45"/>
      <c r="C36" s="46"/>
    </row>
    <row r="37" spans="1:3">
      <c r="A37" s="39" t="s">
        <v>30</v>
      </c>
      <c r="B37" s="39"/>
      <c r="C37" s="44"/>
    </row>
    <row r="38" spans="1:3" ht="26.45" customHeight="1">
      <c r="A38" s="42" t="s">
        <v>31</v>
      </c>
      <c r="B38" s="42"/>
      <c r="C38" s="43"/>
    </row>
    <row r="39" spans="1:3" ht="12.95">
      <c r="A39" s="42" t="s">
        <v>32</v>
      </c>
      <c r="B39" s="42"/>
      <c r="C39" s="43"/>
    </row>
    <row r="40" spans="1:3" ht="12.95" customHeight="1">
      <c r="A40" s="45" t="s">
        <v>33</v>
      </c>
      <c r="B40" s="45"/>
      <c r="C40" s="46"/>
    </row>
    <row r="41" spans="1:3" ht="12.95" customHeight="1">
      <c r="A41" s="39" t="s">
        <v>34</v>
      </c>
      <c r="B41" s="39"/>
      <c r="C41" s="44"/>
    </row>
    <row r="42" spans="1:3">
      <c r="A42" s="41" t="s">
        <v>4</v>
      </c>
      <c r="B42" s="404" t="s">
        <v>4</v>
      </c>
      <c r="C42" s="409"/>
    </row>
    <row r="43" spans="1:3">
      <c r="A43" s="405" t="s">
        <v>35</v>
      </c>
      <c r="B43" s="405"/>
      <c r="C43" s="405"/>
    </row>
    <row r="44" spans="1:3" ht="12.95">
      <c r="A44" s="408" t="s">
        <v>36</v>
      </c>
      <c r="B44" s="408"/>
      <c r="C44" s="408"/>
    </row>
    <row r="45" spans="1:3">
      <c r="A45" s="405" t="s">
        <v>37</v>
      </c>
      <c r="B45" s="405"/>
      <c r="C45" s="405"/>
    </row>
    <row r="46" spans="1:3">
      <c r="A46" s="39" t="s">
        <v>4</v>
      </c>
      <c r="B46" s="39" t="s">
        <v>4</v>
      </c>
      <c r="C46" s="39" t="s">
        <v>4</v>
      </c>
    </row>
    <row r="47" spans="1:3" ht="20.100000000000001" customHeight="1">
      <c r="A47" s="405" t="s">
        <v>38</v>
      </c>
      <c r="B47" s="405"/>
      <c r="C47" s="405"/>
    </row>
    <row r="48" spans="1:3">
      <c r="A48" s="39" t="s">
        <v>4</v>
      </c>
      <c r="B48" s="39" t="s">
        <v>4</v>
      </c>
      <c r="C48" s="39" t="s">
        <v>4</v>
      </c>
    </row>
    <row r="49" spans="1:3">
      <c r="A49" s="39" t="s">
        <v>4</v>
      </c>
      <c r="B49" s="39" t="s">
        <v>4</v>
      </c>
      <c r="C49" s="39" t="s">
        <v>4</v>
      </c>
    </row>
    <row r="50" spans="1:3">
      <c r="A50" s="39" t="s">
        <v>4</v>
      </c>
      <c r="B50" s="39" t="s">
        <v>4</v>
      </c>
      <c r="C50" s="39" t="s">
        <v>4</v>
      </c>
    </row>
    <row r="51" spans="1:3">
      <c r="A51" s="39" t="s">
        <v>4</v>
      </c>
      <c r="B51" s="39" t="s">
        <v>4</v>
      </c>
      <c r="C51" s="39" t="s">
        <v>4</v>
      </c>
    </row>
    <row r="52" spans="1:3">
      <c r="A52" s="39" t="s">
        <v>4</v>
      </c>
      <c r="B52" s="39" t="s">
        <v>4</v>
      </c>
      <c r="C52" s="39" t="s">
        <v>4</v>
      </c>
    </row>
    <row r="53" spans="1:3">
      <c r="A53" s="39" t="s">
        <v>4</v>
      </c>
      <c r="B53" s="39" t="s">
        <v>4</v>
      </c>
      <c r="C53" s="39" t="s">
        <v>4</v>
      </c>
    </row>
    <row r="54" spans="1:3">
      <c r="A54" s="39" t="s">
        <v>4</v>
      </c>
      <c r="B54" s="39" t="s">
        <v>4</v>
      </c>
      <c r="C54" s="39" t="s">
        <v>4</v>
      </c>
    </row>
    <row r="55" spans="1:3">
      <c r="A55" s="39" t="s">
        <v>4</v>
      </c>
      <c r="B55" s="39" t="s">
        <v>4</v>
      </c>
      <c r="C55" s="39" t="s">
        <v>4</v>
      </c>
    </row>
    <row r="56" spans="1:3">
      <c r="A56" s="39" t="s">
        <v>4</v>
      </c>
      <c r="B56" s="39" t="s">
        <v>4</v>
      </c>
      <c r="C56" s="39" t="s">
        <v>4</v>
      </c>
    </row>
    <row r="57" spans="1:3">
      <c r="A57" s="39" t="s">
        <v>4</v>
      </c>
      <c r="B57" s="39" t="s">
        <v>4</v>
      </c>
      <c r="C57" s="39" t="s">
        <v>4</v>
      </c>
    </row>
    <row r="58" spans="1:3">
      <c r="A58" s="39" t="s">
        <v>4</v>
      </c>
      <c r="B58" s="39" t="s">
        <v>4</v>
      </c>
      <c r="C58" s="39" t="s">
        <v>4</v>
      </c>
    </row>
    <row r="59" spans="1:3">
      <c r="A59" s="39" t="s">
        <v>4</v>
      </c>
      <c r="B59" s="39" t="s">
        <v>4</v>
      </c>
      <c r="C59" s="39" t="s">
        <v>4</v>
      </c>
    </row>
    <row r="60" spans="1:3">
      <c r="A60" s="39" t="s">
        <v>4</v>
      </c>
      <c r="B60" s="39" t="s">
        <v>4</v>
      </c>
      <c r="C60" s="39" t="s">
        <v>4</v>
      </c>
    </row>
    <row r="61" spans="1:3">
      <c r="A61" s="39" t="s">
        <v>4</v>
      </c>
      <c r="B61" s="39" t="s">
        <v>4</v>
      </c>
      <c r="C61" s="39" t="s">
        <v>4</v>
      </c>
    </row>
    <row r="62" spans="1:3">
      <c r="A62" s="39" t="s">
        <v>4</v>
      </c>
      <c r="B62" s="39" t="s">
        <v>4</v>
      </c>
      <c r="C62" s="39" t="s">
        <v>4</v>
      </c>
    </row>
    <row r="63" spans="1:3">
      <c r="A63" s="39" t="s">
        <v>4</v>
      </c>
      <c r="B63" s="39" t="s">
        <v>4</v>
      </c>
      <c r="C63" s="39" t="s">
        <v>4</v>
      </c>
    </row>
    <row r="64" spans="1:3">
      <c r="A64" s="39" t="s">
        <v>4</v>
      </c>
      <c r="B64" s="39" t="s">
        <v>4</v>
      </c>
      <c r="C64" s="39" t="s">
        <v>4</v>
      </c>
    </row>
    <row r="65" spans="1:3">
      <c r="A65" s="39" t="s">
        <v>4</v>
      </c>
      <c r="B65" s="39" t="s">
        <v>4</v>
      </c>
      <c r="C65" s="39" t="s">
        <v>4</v>
      </c>
    </row>
    <row r="66" spans="1:3">
      <c r="A66" s="39" t="s">
        <v>4</v>
      </c>
      <c r="B66" s="39" t="s">
        <v>4</v>
      </c>
      <c r="C66" s="39" t="s">
        <v>4</v>
      </c>
    </row>
    <row r="67" spans="1:3">
      <c r="A67" s="39" t="s">
        <v>4</v>
      </c>
      <c r="B67" s="39" t="s">
        <v>4</v>
      </c>
      <c r="C67" s="39" t="s">
        <v>4</v>
      </c>
    </row>
    <row r="68" spans="1:3">
      <c r="A68" s="39" t="s">
        <v>4</v>
      </c>
      <c r="B68" s="39" t="s">
        <v>4</v>
      </c>
      <c r="C68" s="39" t="s">
        <v>4</v>
      </c>
    </row>
    <row r="69" spans="1:3">
      <c r="A69" s="39" t="s">
        <v>4</v>
      </c>
      <c r="B69" s="39" t="s">
        <v>4</v>
      </c>
      <c r="C69" s="39" t="s">
        <v>4</v>
      </c>
    </row>
    <row r="70" spans="1:3">
      <c r="A70" s="39" t="s">
        <v>4</v>
      </c>
      <c r="B70" s="39" t="s">
        <v>4</v>
      </c>
      <c r="C70" s="39" t="s">
        <v>4</v>
      </c>
    </row>
    <row r="71" spans="1:3">
      <c r="A71" s="39" t="s">
        <v>4</v>
      </c>
      <c r="B71" s="39" t="s">
        <v>4</v>
      </c>
      <c r="C71" s="39" t="s">
        <v>4</v>
      </c>
    </row>
    <row r="72" spans="1:3">
      <c r="A72" s="39" t="s">
        <v>4</v>
      </c>
      <c r="B72" s="39" t="s">
        <v>4</v>
      </c>
      <c r="C72" s="39" t="s">
        <v>4</v>
      </c>
    </row>
    <row r="73" spans="1:3">
      <c r="A73" s="39" t="s">
        <v>4</v>
      </c>
      <c r="B73" s="39" t="s">
        <v>4</v>
      </c>
      <c r="C73" s="39" t="s">
        <v>4</v>
      </c>
    </row>
    <row r="74" spans="1:3">
      <c r="A74" s="39" t="s">
        <v>4</v>
      </c>
      <c r="B74" s="39" t="s">
        <v>4</v>
      </c>
      <c r="C74" s="39" t="s">
        <v>4</v>
      </c>
    </row>
    <row r="75" spans="1:3">
      <c r="A75" s="39" t="s">
        <v>4</v>
      </c>
      <c r="B75" s="39" t="s">
        <v>4</v>
      </c>
      <c r="C75" s="39" t="s">
        <v>4</v>
      </c>
    </row>
    <row r="76" spans="1:3" ht="30.75" customHeight="1">
      <c r="A76" s="403" t="s">
        <v>39</v>
      </c>
      <c r="B76" s="403"/>
      <c r="C76" s="403"/>
    </row>
    <row r="77" spans="1:3" ht="28.5" customHeight="1">
      <c r="A77" s="405" t="s">
        <v>40</v>
      </c>
      <c r="B77" s="405"/>
      <c r="C77" s="405"/>
    </row>
    <row r="78" spans="1:3" ht="17.25" customHeight="1">
      <c r="A78" s="405" t="s">
        <v>41</v>
      </c>
      <c r="B78" s="405"/>
      <c r="C78" s="405"/>
    </row>
    <row r="79" spans="1:3" ht="23.25" customHeight="1">
      <c r="A79" s="405" t="s">
        <v>42</v>
      </c>
      <c r="B79" s="405"/>
      <c r="C79" s="405"/>
    </row>
    <row r="80" spans="1:3" ht="28.5" customHeight="1">
      <c r="A80" s="404" t="s">
        <v>43</v>
      </c>
      <c r="B80" s="404"/>
      <c r="C80" s="404"/>
    </row>
    <row r="81" spans="1:3" ht="25.5" customHeight="1">
      <c r="A81" s="404" t="s">
        <v>44</v>
      </c>
      <c r="B81" s="404"/>
      <c r="C81" s="404"/>
    </row>
    <row r="82" spans="1:3">
      <c r="A82" s="42" t="s">
        <v>4</v>
      </c>
      <c r="B82" s="39" t="s">
        <v>4</v>
      </c>
      <c r="C82" s="39" t="s">
        <v>4</v>
      </c>
    </row>
    <row r="83" spans="1:3" ht="30.75" customHeight="1">
      <c r="A83" s="403" t="s">
        <v>45</v>
      </c>
      <c r="B83" s="403"/>
      <c r="C83" s="403"/>
    </row>
    <row r="84" spans="1:3" ht="27.6" customHeight="1">
      <c r="A84" s="404" t="s">
        <v>46</v>
      </c>
      <c r="B84" s="404"/>
      <c r="C84" s="404"/>
    </row>
    <row r="85" spans="1:3">
      <c r="A85" s="405" t="s">
        <v>47</v>
      </c>
      <c r="B85" s="405"/>
      <c r="C85" s="405"/>
    </row>
    <row r="86" spans="1:3">
      <c r="A86" s="404" t="s">
        <v>48</v>
      </c>
      <c r="B86" s="404"/>
      <c r="C86" s="404"/>
    </row>
    <row r="87" spans="1:3" ht="27.95" customHeight="1">
      <c r="A87" s="404" t="s">
        <v>49</v>
      </c>
      <c r="B87" s="404"/>
      <c r="C87" s="404"/>
    </row>
    <row r="88" spans="1:3">
      <c r="A88" s="39" t="s">
        <v>4</v>
      </c>
      <c r="B88" s="39" t="s">
        <v>4</v>
      </c>
      <c r="C88" s="39" t="s">
        <v>4</v>
      </c>
    </row>
    <row r="89" spans="1:3" ht="45.75" customHeight="1">
      <c r="A89" s="403" t="s">
        <v>50</v>
      </c>
      <c r="B89" s="403"/>
      <c r="C89" s="403"/>
    </row>
    <row r="90" spans="1:3">
      <c r="A90" s="405" t="s">
        <v>51</v>
      </c>
      <c r="B90" s="405"/>
      <c r="C90" s="405"/>
    </row>
    <row r="91" spans="1:3">
      <c r="A91" s="405" t="s">
        <v>52</v>
      </c>
      <c r="B91" s="405"/>
      <c r="C91" s="405"/>
    </row>
    <row r="92" spans="1:3">
      <c r="A92" s="405" t="s">
        <v>53</v>
      </c>
      <c r="B92" s="405"/>
      <c r="C92" s="405"/>
    </row>
    <row r="93" spans="1:3">
      <c r="A93" s="405" t="s">
        <v>54</v>
      </c>
      <c r="B93" s="405"/>
      <c r="C93" s="405"/>
    </row>
    <row r="94" spans="1:3">
      <c r="A94" s="405" t="s">
        <v>55</v>
      </c>
      <c r="B94" s="405"/>
      <c r="C94" s="405"/>
    </row>
    <row r="95" spans="1:3" ht="24.75" customHeight="1">
      <c r="A95" s="408" t="s">
        <v>56</v>
      </c>
      <c r="B95" s="408"/>
      <c r="C95" s="408"/>
    </row>
    <row r="96" spans="1:3">
      <c r="A96" s="405" t="s">
        <v>4</v>
      </c>
      <c r="B96" s="405"/>
      <c r="C96" s="405"/>
    </row>
    <row r="97" spans="1:3" ht="15.6">
      <c r="A97" s="403" t="s">
        <v>57</v>
      </c>
      <c r="B97" s="403"/>
      <c r="C97" s="403"/>
    </row>
    <row r="98" spans="1:3">
      <c r="A98" s="405" t="s">
        <v>58</v>
      </c>
      <c r="B98" s="405"/>
      <c r="C98" s="405"/>
    </row>
    <row r="99" spans="1:3">
      <c r="A99" s="404" t="s">
        <v>59</v>
      </c>
      <c r="B99" s="404"/>
      <c r="C99" s="404"/>
    </row>
    <row r="100" spans="1:3" ht="18" customHeight="1">
      <c r="A100" s="404" t="s">
        <v>60</v>
      </c>
      <c r="B100" s="404"/>
      <c r="C100" s="404"/>
    </row>
    <row r="101" spans="1:3" ht="17.25" customHeight="1">
      <c r="A101" s="405" t="s">
        <v>61</v>
      </c>
      <c r="B101" s="405"/>
      <c r="C101" s="405"/>
    </row>
    <row r="102" spans="1:3" ht="26.25" customHeight="1">
      <c r="A102" s="404" t="s">
        <v>62</v>
      </c>
      <c r="B102" s="404"/>
      <c r="C102" s="404"/>
    </row>
    <row r="103" spans="1:3" ht="24" customHeight="1">
      <c r="A103" s="406" t="s">
        <v>63</v>
      </c>
      <c r="B103" s="406"/>
      <c r="C103" s="406"/>
    </row>
    <row r="104" spans="1:3">
      <c r="A104" s="39" t="s">
        <v>4</v>
      </c>
      <c r="B104" s="39" t="s">
        <v>4</v>
      </c>
      <c r="C104" s="39" t="s">
        <v>4</v>
      </c>
    </row>
    <row r="105" spans="1:3" ht="45.75" customHeight="1">
      <c r="A105" s="403" t="s">
        <v>64</v>
      </c>
      <c r="B105" s="403"/>
      <c r="C105" s="403"/>
    </row>
    <row r="106" spans="1:3" ht="33" customHeight="1">
      <c r="A106" s="405" t="s">
        <v>65</v>
      </c>
      <c r="B106" s="405"/>
      <c r="C106" s="405"/>
    </row>
    <row r="107" spans="1:3">
      <c r="A107" s="405" t="s">
        <v>4</v>
      </c>
      <c r="B107" s="405"/>
      <c r="C107" s="405"/>
    </row>
    <row r="108" spans="1:3" ht="15.6">
      <c r="A108" s="403" t="s">
        <v>66</v>
      </c>
      <c r="B108" s="403"/>
      <c r="C108" s="403"/>
    </row>
    <row r="109" spans="1:3" ht="26.1" customHeight="1">
      <c r="A109" s="405" t="s">
        <v>67</v>
      </c>
      <c r="B109" s="405"/>
      <c r="C109" s="405"/>
    </row>
    <row r="110" spans="1:3" ht="25.5" customHeight="1">
      <c r="A110" s="405" t="s">
        <v>68</v>
      </c>
      <c r="B110" s="405"/>
      <c r="C110" s="405"/>
    </row>
    <row r="111" spans="1:3" ht="25.5" customHeight="1">
      <c r="A111" s="405" t="s">
        <v>69</v>
      </c>
      <c r="B111" s="405"/>
      <c r="C111" s="405"/>
    </row>
    <row r="112" spans="1:3" ht="12.95">
      <c r="A112" s="408" t="s">
        <v>70</v>
      </c>
      <c r="B112" s="408"/>
      <c r="C112" s="408"/>
    </row>
    <row r="113" spans="1:3" ht="12.95">
      <c r="A113" s="408" t="s">
        <v>71</v>
      </c>
      <c r="B113" s="408"/>
      <c r="C113" s="408"/>
    </row>
    <row r="114" spans="1:3" ht="12.95">
      <c r="A114" s="408" t="s">
        <v>72</v>
      </c>
      <c r="B114" s="408"/>
      <c r="C114" s="408"/>
    </row>
    <row r="115" spans="1:3" ht="12.95">
      <c r="A115" s="408" t="s">
        <v>73</v>
      </c>
      <c r="B115" s="408"/>
      <c r="C115" s="408"/>
    </row>
    <row r="116" spans="1:3" ht="10.5" customHeight="1">
      <c r="A116" s="408" t="s">
        <v>74</v>
      </c>
      <c r="B116" s="408"/>
      <c r="C116" s="408"/>
    </row>
    <row r="117" spans="1:3">
      <c r="A117" s="405" t="s">
        <v>75</v>
      </c>
      <c r="B117" s="405"/>
      <c r="C117" s="405"/>
    </row>
  </sheetData>
  <mergeCells count="65">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117:C117"/>
    <mergeCell ref="A108:C108"/>
    <mergeCell ref="A109:C109"/>
    <mergeCell ref="A114:C114"/>
    <mergeCell ref="A112:C112"/>
    <mergeCell ref="A113:C113"/>
    <mergeCell ref="A110:C110"/>
    <mergeCell ref="A111:C111"/>
    <mergeCell ref="A115:C115"/>
    <mergeCell ref="A116:C116"/>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4:C4"/>
    <mergeCell ref="A6:C6"/>
    <mergeCell ref="A9:C9"/>
    <mergeCell ref="A10:C10"/>
    <mergeCell ref="A20:C20"/>
    <mergeCell ref="A19:C19"/>
    <mergeCell ref="A15:C15"/>
    <mergeCell ref="A11:C11"/>
    <mergeCell ref="A13:C13"/>
    <mergeCell ref="A14:C14"/>
    <mergeCell ref="A17:C17"/>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0E58-55F2-457A-98CA-95ED7DA62E4E}">
  <sheetPr>
    <pageSetUpPr fitToPage="1"/>
  </sheetPr>
  <dimension ref="A1:O205"/>
  <sheetViews>
    <sheetView zoomScale="80" zoomScaleNormal="80" workbookViewId="0">
      <selection activeCell="D84" sqref="D84"/>
    </sheetView>
  </sheetViews>
  <sheetFormatPr defaultRowHeight="12.75" customHeight="1"/>
  <cols>
    <col min="1" max="1" width="49" customWidth="1"/>
    <col min="2" max="2" width="48.85546875" customWidth="1"/>
    <col min="3" max="14" width="20.7109375" customWidth="1"/>
    <col min="15" max="15" width="30.7109375" customWidth="1"/>
    <col min="16" max="16" width="9.28515625" customWidth="1"/>
  </cols>
  <sheetData>
    <row r="1" spans="1:15" ht="14.1">
      <c r="A1" s="4" t="s">
        <v>491</v>
      </c>
      <c r="B1" s="5"/>
      <c r="C1" s="6"/>
      <c r="D1" s="6"/>
      <c r="E1" s="6"/>
      <c r="F1" s="6"/>
      <c r="G1" s="6"/>
      <c r="H1" s="6"/>
      <c r="I1" s="6"/>
      <c r="J1" s="6"/>
      <c r="K1" s="6"/>
      <c r="L1" s="6"/>
      <c r="M1" s="6"/>
    </row>
    <row r="2" spans="1:15" ht="14.1">
      <c r="A2" s="4" t="s">
        <v>492</v>
      </c>
      <c r="B2" s="5"/>
      <c r="C2" s="6"/>
      <c r="D2" s="6"/>
      <c r="E2" s="6"/>
      <c r="F2" s="6"/>
      <c r="G2" s="6"/>
      <c r="H2" s="6"/>
      <c r="I2" s="6"/>
      <c r="J2" s="6"/>
      <c r="K2" s="6"/>
      <c r="L2" s="6"/>
      <c r="M2" s="6"/>
    </row>
    <row r="3" spans="1:15" ht="24" customHeight="1">
      <c r="A3" s="448" t="s">
        <v>493</v>
      </c>
      <c r="B3" s="448"/>
      <c r="C3" s="448"/>
      <c r="D3" s="448"/>
      <c r="E3" s="448"/>
      <c r="F3" s="448"/>
      <c r="G3" s="448"/>
      <c r="H3" s="448"/>
      <c r="I3" s="448"/>
      <c r="J3" s="448"/>
      <c r="K3" s="448"/>
      <c r="L3" s="448"/>
      <c r="M3" s="448"/>
      <c r="N3" s="448"/>
      <c r="O3" s="448"/>
    </row>
    <row r="4" spans="1:15" ht="12.6"/>
    <row r="5" spans="1:15" ht="12.6">
      <c r="A5" s="7" t="s">
        <v>2</v>
      </c>
      <c r="B5" s="334" t="s">
        <v>4</v>
      </c>
      <c r="C5" s="334"/>
      <c r="D5" s="334"/>
      <c r="E5" s="334"/>
      <c r="F5" s="334"/>
      <c r="G5" s="334"/>
      <c r="H5" s="334"/>
      <c r="I5" s="334"/>
      <c r="J5" s="334"/>
      <c r="K5" s="334"/>
      <c r="L5" s="334"/>
      <c r="M5" s="334"/>
      <c r="N5" s="334"/>
      <c r="O5" s="335"/>
    </row>
    <row r="6" spans="1:15" ht="12.6">
      <c r="A6" s="8" t="s">
        <v>5</v>
      </c>
      <c r="B6" s="9" t="s">
        <v>494</v>
      </c>
      <c r="C6" s="9" t="s">
        <v>4</v>
      </c>
      <c r="D6" s="10" t="s">
        <v>495</v>
      </c>
      <c r="E6" s="10"/>
      <c r="F6" s="10"/>
      <c r="G6" s="10"/>
      <c r="H6" s="10"/>
      <c r="I6" s="10"/>
      <c r="J6" s="10"/>
      <c r="K6" s="10"/>
      <c r="L6" s="10" t="s">
        <v>105</v>
      </c>
      <c r="M6" s="10" t="s">
        <v>106</v>
      </c>
      <c r="N6" s="10" t="s">
        <v>631</v>
      </c>
      <c r="O6" s="89" t="s">
        <v>496</v>
      </c>
    </row>
    <row r="7" spans="1:15" ht="18.75" hidden="1" customHeight="1">
      <c r="A7" s="430" t="s">
        <v>497</v>
      </c>
      <c r="B7" s="343" t="s">
        <v>611</v>
      </c>
      <c r="C7" s="11" t="s">
        <v>498</v>
      </c>
      <c r="D7" s="11">
        <v>690</v>
      </c>
      <c r="E7" s="11"/>
      <c r="F7" s="11"/>
      <c r="G7" s="11"/>
      <c r="H7" s="11"/>
      <c r="I7" s="11"/>
      <c r="J7" s="11"/>
      <c r="K7" s="11"/>
      <c r="L7" s="12" t="s">
        <v>4</v>
      </c>
      <c r="M7" s="12" t="s">
        <v>4</v>
      </c>
      <c r="N7" s="16" t="s">
        <v>4</v>
      </c>
      <c r="O7" s="451"/>
    </row>
    <row r="8" spans="1:15" ht="12.6" hidden="1">
      <c r="A8" s="449"/>
      <c r="B8" s="341"/>
      <c r="C8" s="11" t="s">
        <v>500</v>
      </c>
      <c r="D8" s="13" t="s">
        <v>4</v>
      </c>
      <c r="E8" s="13"/>
      <c r="F8" s="13"/>
      <c r="G8" s="13"/>
      <c r="H8" s="13"/>
      <c r="I8" s="13"/>
      <c r="J8" s="13"/>
      <c r="K8" s="13"/>
      <c r="L8" s="12" t="s">
        <v>4</v>
      </c>
      <c r="M8" s="12" t="s">
        <v>4</v>
      </c>
      <c r="N8" s="16" t="s">
        <v>4</v>
      </c>
      <c r="O8" s="452"/>
    </row>
    <row r="9" spans="1:15" ht="12.6" hidden="1">
      <c r="A9" s="449"/>
      <c r="B9" s="341"/>
      <c r="C9" s="14" t="s">
        <v>4</v>
      </c>
      <c r="D9" s="336" t="s">
        <v>501</v>
      </c>
      <c r="E9" s="337"/>
      <c r="F9" s="337"/>
      <c r="G9" s="337"/>
      <c r="H9" s="337"/>
      <c r="I9" s="337"/>
      <c r="J9" s="337"/>
      <c r="K9" s="337"/>
      <c r="L9" s="337"/>
      <c r="M9" s="337"/>
      <c r="N9" s="337"/>
      <c r="O9" s="452"/>
    </row>
    <row r="10" spans="1:15" ht="12.6" hidden="1">
      <c r="A10" s="449"/>
      <c r="B10" s="342"/>
      <c r="C10" s="16" t="s">
        <v>4</v>
      </c>
      <c r="D10" s="338" t="s">
        <v>4</v>
      </c>
      <c r="E10" s="339"/>
      <c r="F10" s="339"/>
      <c r="G10" s="339"/>
      <c r="H10" s="339"/>
      <c r="I10" s="339"/>
      <c r="J10" s="339"/>
      <c r="K10" s="339"/>
      <c r="L10" s="339"/>
      <c r="M10" s="339"/>
      <c r="N10" s="339"/>
      <c r="O10" s="452"/>
    </row>
    <row r="11" spans="1:15" ht="12.6" hidden="1">
      <c r="A11" s="449"/>
      <c r="B11" s="48" t="s">
        <v>503</v>
      </c>
      <c r="C11" s="9" t="s">
        <v>4</v>
      </c>
      <c r="D11" s="10" t="s">
        <v>495</v>
      </c>
      <c r="E11" s="10"/>
      <c r="F11" s="10"/>
      <c r="G11" s="10"/>
      <c r="H11" s="10"/>
      <c r="I11" s="10"/>
      <c r="J11" s="10"/>
      <c r="K11" s="10"/>
      <c r="L11" s="10" t="s">
        <v>105</v>
      </c>
      <c r="M11" s="10" t="s">
        <v>106</v>
      </c>
      <c r="N11" s="88" t="s">
        <v>631</v>
      </c>
      <c r="O11" s="452"/>
    </row>
    <row r="12" spans="1:15" ht="22.5" hidden="1" customHeight="1">
      <c r="A12" s="449"/>
      <c r="B12" s="343" t="s">
        <v>613</v>
      </c>
      <c r="C12" s="11" t="s">
        <v>498</v>
      </c>
      <c r="D12" s="11">
        <v>117</v>
      </c>
      <c r="E12" s="11"/>
      <c r="F12" s="11"/>
      <c r="G12" s="11"/>
      <c r="H12" s="11"/>
      <c r="I12" s="11"/>
      <c r="J12" s="11"/>
      <c r="K12" s="11"/>
      <c r="L12" s="12" t="s">
        <v>4</v>
      </c>
      <c r="M12" s="12" t="s">
        <v>4</v>
      </c>
      <c r="N12" s="16" t="s">
        <v>4</v>
      </c>
      <c r="O12" s="452"/>
    </row>
    <row r="13" spans="1:15" ht="12.6" hidden="1">
      <c r="A13" s="449"/>
      <c r="B13" s="341"/>
      <c r="C13" s="11" t="s">
        <v>500</v>
      </c>
      <c r="D13" s="13" t="s">
        <v>4</v>
      </c>
      <c r="E13" s="13"/>
      <c r="F13" s="13"/>
      <c r="G13" s="13"/>
      <c r="H13" s="13"/>
      <c r="I13" s="13"/>
      <c r="J13" s="13"/>
      <c r="K13" s="13"/>
      <c r="L13" s="12" t="s">
        <v>4</v>
      </c>
      <c r="M13" s="12" t="s">
        <v>4</v>
      </c>
      <c r="N13" s="16" t="s">
        <v>4</v>
      </c>
      <c r="O13" s="452"/>
    </row>
    <row r="14" spans="1:15" ht="12.6" hidden="1">
      <c r="A14" s="449"/>
      <c r="B14" s="341"/>
      <c r="C14" s="14" t="s">
        <v>4</v>
      </c>
      <c r="D14" s="336" t="s">
        <v>501</v>
      </c>
      <c r="E14" s="337"/>
      <c r="F14" s="337"/>
      <c r="G14" s="337"/>
      <c r="H14" s="337"/>
      <c r="I14" s="337"/>
      <c r="J14" s="337"/>
      <c r="K14" s="337"/>
      <c r="L14" s="337"/>
      <c r="M14" s="337"/>
      <c r="N14" s="337"/>
      <c r="O14" s="452"/>
    </row>
    <row r="15" spans="1:15" ht="12.6" hidden="1">
      <c r="A15" s="449"/>
      <c r="B15" s="342"/>
      <c r="C15" s="16" t="s">
        <v>4</v>
      </c>
      <c r="D15" s="338" t="s">
        <v>4</v>
      </c>
      <c r="E15" s="339"/>
      <c r="F15" s="339"/>
      <c r="G15" s="339"/>
      <c r="H15" s="339"/>
      <c r="I15" s="339"/>
      <c r="J15" s="339"/>
      <c r="K15" s="339"/>
      <c r="L15" s="339"/>
      <c r="M15" s="339"/>
      <c r="N15" s="339"/>
      <c r="O15" s="452"/>
    </row>
    <row r="16" spans="1:15" ht="15" hidden="1" customHeight="1">
      <c r="A16" s="449"/>
      <c r="B16" s="48" t="s">
        <v>504</v>
      </c>
      <c r="C16" s="9" t="s">
        <v>4</v>
      </c>
      <c r="D16" s="10" t="s">
        <v>495</v>
      </c>
      <c r="E16" s="10"/>
      <c r="F16" s="10"/>
      <c r="G16" s="10"/>
      <c r="H16" s="10"/>
      <c r="I16" s="10"/>
      <c r="J16" s="10"/>
      <c r="K16" s="10"/>
      <c r="L16" s="10" t="s">
        <v>105</v>
      </c>
      <c r="M16" s="10" t="s">
        <v>106</v>
      </c>
      <c r="N16" s="88" t="s">
        <v>631</v>
      </c>
      <c r="O16" s="452"/>
    </row>
    <row r="17" spans="1:15" ht="15" hidden="1" customHeight="1">
      <c r="A17" s="449"/>
      <c r="B17" s="343" t="s">
        <v>632</v>
      </c>
      <c r="C17" s="11" t="s">
        <v>498</v>
      </c>
      <c r="D17" s="11">
        <v>15.4</v>
      </c>
      <c r="E17" s="11"/>
      <c r="F17" s="11"/>
      <c r="G17" s="11"/>
      <c r="H17" s="11"/>
      <c r="I17" s="11"/>
      <c r="J17" s="11"/>
      <c r="K17" s="11"/>
      <c r="L17" s="12" t="s">
        <v>4</v>
      </c>
      <c r="M17" s="12" t="s">
        <v>4</v>
      </c>
      <c r="N17" s="16" t="s">
        <v>4</v>
      </c>
      <c r="O17" s="452"/>
    </row>
    <row r="18" spans="1:15" ht="15" hidden="1" customHeight="1">
      <c r="A18" s="449"/>
      <c r="B18" s="341"/>
      <c r="C18" s="11" t="s">
        <v>500</v>
      </c>
      <c r="D18" s="13" t="s">
        <v>4</v>
      </c>
      <c r="E18" s="13"/>
      <c r="F18" s="13"/>
      <c r="G18" s="13"/>
      <c r="H18" s="13"/>
      <c r="I18" s="13"/>
      <c r="J18" s="13"/>
      <c r="K18" s="13"/>
      <c r="L18" s="12" t="s">
        <v>4</v>
      </c>
      <c r="M18" s="12" t="s">
        <v>4</v>
      </c>
      <c r="N18" s="16" t="s">
        <v>4</v>
      </c>
      <c r="O18" s="452"/>
    </row>
    <row r="19" spans="1:15" ht="15" hidden="1" customHeight="1">
      <c r="A19" s="449"/>
      <c r="B19" s="341"/>
      <c r="C19" s="14" t="s">
        <v>4</v>
      </c>
      <c r="D19" s="336" t="s">
        <v>501</v>
      </c>
      <c r="E19" s="337"/>
      <c r="F19" s="337"/>
      <c r="G19" s="337"/>
      <c r="H19" s="337"/>
      <c r="I19" s="337"/>
      <c r="J19" s="337"/>
      <c r="K19" s="337"/>
      <c r="L19" s="337"/>
      <c r="M19" s="337"/>
      <c r="N19" s="337"/>
      <c r="O19" s="452"/>
    </row>
    <row r="20" spans="1:15" ht="15" hidden="1" customHeight="1">
      <c r="A20" s="450"/>
      <c r="B20" s="342"/>
      <c r="C20" s="16" t="s">
        <v>4</v>
      </c>
      <c r="D20" s="338" t="s">
        <v>4</v>
      </c>
      <c r="E20" s="339"/>
      <c r="F20" s="339"/>
      <c r="G20" s="339"/>
      <c r="H20" s="339"/>
      <c r="I20" s="339"/>
      <c r="J20" s="339"/>
      <c r="K20" s="339"/>
      <c r="L20" s="339"/>
      <c r="M20" s="339"/>
      <c r="N20" s="339"/>
      <c r="O20" s="453"/>
    </row>
    <row r="21" spans="1:15" ht="12.6" hidden="1">
      <c r="A21" s="18"/>
      <c r="B21" s="18"/>
      <c r="C21" s="18"/>
      <c r="D21" s="18"/>
      <c r="E21" s="18"/>
      <c r="F21" s="18"/>
      <c r="G21" s="18"/>
      <c r="H21" s="18"/>
      <c r="I21" s="18"/>
      <c r="J21" s="18"/>
      <c r="K21" s="18"/>
      <c r="L21" s="18"/>
      <c r="M21" s="18"/>
      <c r="N21" s="18"/>
      <c r="O21" s="18"/>
    </row>
    <row r="22" spans="1:15" ht="12.6">
      <c r="A22" s="18"/>
      <c r="B22" s="18"/>
      <c r="C22" s="18"/>
      <c r="D22" s="18"/>
      <c r="E22" s="18"/>
      <c r="F22" s="18"/>
      <c r="G22" s="18"/>
      <c r="H22" s="18"/>
      <c r="I22" s="18"/>
      <c r="J22" s="18"/>
      <c r="K22" s="18"/>
      <c r="L22" s="18"/>
      <c r="M22" s="18"/>
      <c r="N22" s="18"/>
      <c r="O22" s="18"/>
    </row>
    <row r="23" spans="1:15" ht="12.6">
      <c r="A23" s="19" t="s">
        <v>7</v>
      </c>
      <c r="B23" s="20" t="s">
        <v>505</v>
      </c>
      <c r="C23" s="20" t="s">
        <v>4</v>
      </c>
      <c r="D23" s="21" t="s">
        <v>495</v>
      </c>
      <c r="E23" s="21" t="s">
        <v>633</v>
      </c>
      <c r="F23" s="21" t="s">
        <v>634</v>
      </c>
      <c r="G23" s="21" t="s">
        <v>635</v>
      </c>
      <c r="H23" s="21" t="s">
        <v>636</v>
      </c>
      <c r="I23" s="21" t="s">
        <v>637</v>
      </c>
      <c r="J23" s="21" t="s">
        <v>638</v>
      </c>
      <c r="K23" s="21" t="s">
        <v>639</v>
      </c>
      <c r="L23" s="21" t="s">
        <v>105</v>
      </c>
      <c r="M23" s="21" t="s">
        <v>106</v>
      </c>
      <c r="N23" s="21" t="s">
        <v>631</v>
      </c>
      <c r="O23" s="89" t="s">
        <v>496</v>
      </c>
    </row>
    <row r="24" spans="1:15" ht="29.45" customHeight="1">
      <c r="A24" s="353" t="s">
        <v>513</v>
      </c>
      <c r="B24" s="350" t="s">
        <v>200</v>
      </c>
      <c r="C24" s="11" t="s">
        <v>498</v>
      </c>
      <c r="D24" s="82"/>
      <c r="E24" s="82"/>
      <c r="F24" s="82"/>
      <c r="G24" s="82"/>
      <c r="H24" s="82"/>
      <c r="I24" s="82"/>
      <c r="J24" s="82"/>
      <c r="K24" s="82"/>
      <c r="L24" s="12" t="s">
        <v>4</v>
      </c>
      <c r="M24" s="12" t="s">
        <v>4</v>
      </c>
      <c r="N24" s="16" t="s">
        <v>4</v>
      </c>
      <c r="O24" s="451" t="s">
        <v>4</v>
      </c>
    </row>
    <row r="25" spans="1:15" ht="12.95" customHeight="1">
      <c r="A25" s="354"/>
      <c r="B25" s="351"/>
      <c r="C25" s="11" t="s">
        <v>500</v>
      </c>
      <c r="D25" s="13" t="s">
        <v>4</v>
      </c>
      <c r="E25" s="13"/>
      <c r="F25" s="13"/>
      <c r="G25" s="13"/>
      <c r="H25" s="13"/>
      <c r="I25" s="13"/>
      <c r="J25" s="13"/>
      <c r="K25" s="13"/>
      <c r="L25" s="12" t="s">
        <v>4</v>
      </c>
      <c r="M25" s="12" t="s">
        <v>4</v>
      </c>
      <c r="N25" s="16" t="s">
        <v>4</v>
      </c>
      <c r="O25" s="452"/>
    </row>
    <row r="26" spans="1:15" ht="12.95" customHeight="1">
      <c r="A26" s="354"/>
      <c r="B26" s="351"/>
      <c r="C26" s="14" t="s">
        <v>4</v>
      </c>
      <c r="D26" s="336" t="s">
        <v>501</v>
      </c>
      <c r="E26" s="337"/>
      <c r="F26" s="337"/>
      <c r="G26" s="337"/>
      <c r="H26" s="337"/>
      <c r="I26" s="337"/>
      <c r="J26" s="337"/>
      <c r="K26" s="337"/>
      <c r="L26" s="337"/>
      <c r="M26" s="337"/>
      <c r="N26" s="337"/>
      <c r="O26" s="452"/>
    </row>
    <row r="27" spans="1:15" ht="20.45" customHeight="1">
      <c r="A27" s="354"/>
      <c r="B27" s="352"/>
      <c r="C27" s="16" t="s">
        <v>4</v>
      </c>
      <c r="D27" s="321" t="s">
        <v>184</v>
      </c>
      <c r="E27" s="322"/>
      <c r="F27" s="322"/>
      <c r="G27" s="322"/>
      <c r="H27" s="322"/>
      <c r="I27" s="322"/>
      <c r="J27" s="322"/>
      <c r="K27" s="322"/>
      <c r="L27" s="322"/>
      <c r="M27" s="322"/>
      <c r="N27" s="322"/>
      <c r="O27" s="452"/>
    </row>
    <row r="28" spans="1:15" ht="12.95" customHeight="1">
      <c r="A28" s="354"/>
      <c r="B28" s="7" t="s">
        <v>515</v>
      </c>
      <c r="C28" s="9" t="s">
        <v>4</v>
      </c>
      <c r="D28" s="10" t="s">
        <v>495</v>
      </c>
      <c r="E28" s="21" t="s">
        <v>633</v>
      </c>
      <c r="F28" s="21" t="s">
        <v>634</v>
      </c>
      <c r="G28" s="21" t="s">
        <v>635</v>
      </c>
      <c r="H28" s="21" t="s">
        <v>636</v>
      </c>
      <c r="I28" s="21" t="s">
        <v>637</v>
      </c>
      <c r="J28" s="21" t="s">
        <v>638</v>
      </c>
      <c r="K28" s="21" t="s">
        <v>639</v>
      </c>
      <c r="L28" s="10" t="s">
        <v>105</v>
      </c>
      <c r="M28" s="10" t="s">
        <v>106</v>
      </c>
      <c r="N28" s="88" t="s">
        <v>631</v>
      </c>
      <c r="O28" s="452"/>
    </row>
    <row r="29" spans="1:15" ht="12.95" customHeight="1">
      <c r="A29" s="354"/>
      <c r="B29" s="350" t="s">
        <v>516</v>
      </c>
      <c r="C29" s="11" t="s">
        <v>498</v>
      </c>
      <c r="D29" s="82"/>
      <c r="E29" s="82"/>
      <c r="F29" s="82"/>
      <c r="G29" s="82"/>
      <c r="H29" s="82"/>
      <c r="I29" s="82"/>
      <c r="J29" s="82"/>
      <c r="K29" s="82"/>
      <c r="L29" s="12" t="s">
        <v>4</v>
      </c>
      <c r="M29" s="12" t="s">
        <v>4</v>
      </c>
      <c r="N29" s="16" t="s">
        <v>4</v>
      </c>
      <c r="O29" s="452"/>
    </row>
    <row r="30" spans="1:15" ht="12.95" customHeight="1">
      <c r="A30" s="354"/>
      <c r="B30" s="351"/>
      <c r="C30" s="11" t="s">
        <v>500</v>
      </c>
      <c r="D30" s="13" t="s">
        <v>4</v>
      </c>
      <c r="E30" s="13"/>
      <c r="F30" s="13"/>
      <c r="G30" s="13"/>
      <c r="H30" s="13"/>
      <c r="I30" s="13"/>
      <c r="J30" s="13"/>
      <c r="K30" s="13"/>
      <c r="L30" s="12" t="s">
        <v>4</v>
      </c>
      <c r="M30" s="12" t="s">
        <v>4</v>
      </c>
      <c r="N30" s="16" t="s">
        <v>4</v>
      </c>
      <c r="O30" s="452"/>
    </row>
    <row r="31" spans="1:15" ht="12.95" customHeight="1">
      <c r="A31" s="354"/>
      <c r="B31" s="351"/>
      <c r="C31" s="14" t="s">
        <v>4</v>
      </c>
      <c r="D31" s="336" t="s">
        <v>501</v>
      </c>
      <c r="E31" s="337"/>
      <c r="F31" s="337"/>
      <c r="G31" s="337"/>
      <c r="H31" s="337"/>
      <c r="I31" s="337"/>
      <c r="J31" s="337"/>
      <c r="K31" s="337"/>
      <c r="L31" s="337"/>
      <c r="M31" s="337"/>
      <c r="N31" s="337"/>
      <c r="O31" s="452"/>
    </row>
    <row r="32" spans="1:15" ht="12.95" customHeight="1">
      <c r="A32" s="354"/>
      <c r="B32" s="352"/>
      <c r="C32" s="16" t="s">
        <v>4</v>
      </c>
      <c r="D32" s="321" t="s">
        <v>184</v>
      </c>
      <c r="E32" s="322"/>
      <c r="F32" s="322"/>
      <c r="G32" s="322"/>
      <c r="H32" s="322"/>
      <c r="I32" s="322"/>
      <c r="J32" s="322"/>
      <c r="K32" s="322"/>
      <c r="L32" s="322"/>
      <c r="M32" s="322"/>
      <c r="N32" s="322"/>
      <c r="O32" s="452"/>
    </row>
    <row r="33" spans="1:15" ht="12.95" customHeight="1">
      <c r="A33" s="354"/>
      <c r="B33" s="7" t="s">
        <v>517</v>
      </c>
      <c r="C33" s="9" t="s">
        <v>4</v>
      </c>
      <c r="D33" s="10" t="s">
        <v>495</v>
      </c>
      <c r="E33" s="21" t="s">
        <v>633</v>
      </c>
      <c r="F33" s="21" t="s">
        <v>634</v>
      </c>
      <c r="G33" s="21" t="s">
        <v>635</v>
      </c>
      <c r="H33" s="21" t="s">
        <v>636</v>
      </c>
      <c r="I33" s="21" t="s">
        <v>637</v>
      </c>
      <c r="J33" s="21" t="s">
        <v>638</v>
      </c>
      <c r="K33" s="21" t="s">
        <v>639</v>
      </c>
      <c r="L33" s="10" t="s">
        <v>105</v>
      </c>
      <c r="M33" s="10" t="s">
        <v>106</v>
      </c>
      <c r="N33" s="88" t="s">
        <v>631</v>
      </c>
      <c r="O33" s="452"/>
    </row>
    <row r="34" spans="1:15" ht="12.95" customHeight="1">
      <c r="A34" s="354"/>
      <c r="B34" s="350" t="s">
        <v>213</v>
      </c>
      <c r="C34" s="11" t="s">
        <v>498</v>
      </c>
      <c r="D34" s="82"/>
      <c r="E34" s="82"/>
      <c r="F34" s="82"/>
      <c r="G34" s="82"/>
      <c r="H34" s="82"/>
      <c r="I34" s="82"/>
      <c r="J34" s="82"/>
      <c r="K34" s="82"/>
      <c r="L34" s="12" t="s">
        <v>4</v>
      </c>
      <c r="M34" s="12" t="s">
        <v>4</v>
      </c>
      <c r="N34" s="16" t="s">
        <v>4</v>
      </c>
      <c r="O34" s="452"/>
    </row>
    <row r="35" spans="1:15" ht="12.95" customHeight="1">
      <c r="A35" s="354"/>
      <c r="B35" s="351"/>
      <c r="C35" s="11" t="s">
        <v>500</v>
      </c>
      <c r="D35" s="13" t="s">
        <v>4</v>
      </c>
      <c r="E35" s="13"/>
      <c r="F35" s="13"/>
      <c r="G35" s="13"/>
      <c r="H35" s="13"/>
      <c r="I35" s="13"/>
      <c r="J35" s="13"/>
      <c r="K35" s="13"/>
      <c r="L35" s="12" t="s">
        <v>4</v>
      </c>
      <c r="M35" s="12" t="s">
        <v>4</v>
      </c>
      <c r="N35" s="16" t="s">
        <v>4</v>
      </c>
      <c r="O35" s="452"/>
    </row>
    <row r="36" spans="1:15" ht="12.95" customHeight="1">
      <c r="A36" s="354"/>
      <c r="B36" s="351"/>
      <c r="C36" s="14" t="s">
        <v>4</v>
      </c>
      <c r="D36" s="336" t="s">
        <v>501</v>
      </c>
      <c r="E36" s="337"/>
      <c r="F36" s="337"/>
      <c r="G36" s="337"/>
      <c r="H36" s="337"/>
      <c r="I36" s="337"/>
      <c r="J36" s="337"/>
      <c r="K36" s="337"/>
      <c r="L36" s="337"/>
      <c r="M36" s="337"/>
      <c r="N36" s="337"/>
      <c r="O36" s="452"/>
    </row>
    <row r="37" spans="1:15" ht="12.95" customHeight="1">
      <c r="A37" s="354"/>
      <c r="B37" s="352"/>
      <c r="C37" s="16" t="s">
        <v>4</v>
      </c>
      <c r="D37" s="321" t="s">
        <v>184</v>
      </c>
      <c r="E37" s="322"/>
      <c r="F37" s="322"/>
      <c r="G37" s="322"/>
      <c r="H37" s="322"/>
      <c r="I37" s="322"/>
      <c r="J37" s="322"/>
      <c r="K37" s="322"/>
      <c r="L37" s="322"/>
      <c r="M37" s="322"/>
      <c r="N37" s="322"/>
      <c r="O37" s="452"/>
    </row>
    <row r="38" spans="1:15" ht="15" customHeight="1">
      <c r="A38" s="354"/>
      <c r="B38" s="7" t="s">
        <v>518</v>
      </c>
      <c r="C38" s="9" t="s">
        <v>4</v>
      </c>
      <c r="D38" s="10" t="s">
        <v>495</v>
      </c>
      <c r="E38" s="21" t="s">
        <v>633</v>
      </c>
      <c r="F38" s="21" t="s">
        <v>634</v>
      </c>
      <c r="G38" s="21" t="s">
        <v>635</v>
      </c>
      <c r="H38" s="21" t="s">
        <v>636</v>
      </c>
      <c r="I38" s="21" t="s">
        <v>637</v>
      </c>
      <c r="J38" s="21" t="s">
        <v>638</v>
      </c>
      <c r="K38" s="21" t="s">
        <v>639</v>
      </c>
      <c r="L38" s="10" t="s">
        <v>105</v>
      </c>
      <c r="M38" s="10" t="s">
        <v>106</v>
      </c>
      <c r="N38" s="88" t="s">
        <v>631</v>
      </c>
      <c r="O38" s="452"/>
    </row>
    <row r="39" spans="1:15" ht="15" customHeight="1">
      <c r="A39" s="354"/>
      <c r="B39" s="350" t="s">
        <v>219</v>
      </c>
      <c r="C39" s="11" t="s">
        <v>498</v>
      </c>
      <c r="D39" s="82"/>
      <c r="E39" s="82"/>
      <c r="F39" s="82"/>
      <c r="G39" s="82"/>
      <c r="H39" s="82"/>
      <c r="I39" s="82"/>
      <c r="J39" s="82"/>
      <c r="K39" s="82"/>
      <c r="L39" s="12" t="s">
        <v>4</v>
      </c>
      <c r="M39" s="12" t="s">
        <v>4</v>
      </c>
      <c r="N39" s="16" t="s">
        <v>4</v>
      </c>
      <c r="O39" s="452"/>
    </row>
    <row r="40" spans="1:15" ht="15" customHeight="1">
      <c r="A40" s="354"/>
      <c r="B40" s="351"/>
      <c r="C40" s="11" t="s">
        <v>500</v>
      </c>
      <c r="D40" s="13" t="s">
        <v>4</v>
      </c>
      <c r="E40" s="13"/>
      <c r="F40" s="13"/>
      <c r="G40" s="13"/>
      <c r="H40" s="13"/>
      <c r="I40" s="13"/>
      <c r="J40" s="13"/>
      <c r="K40" s="13"/>
      <c r="L40" s="12" t="s">
        <v>4</v>
      </c>
      <c r="M40" s="12" t="s">
        <v>4</v>
      </c>
      <c r="N40" s="16" t="s">
        <v>4</v>
      </c>
      <c r="O40" s="452"/>
    </row>
    <row r="41" spans="1:15" ht="15" customHeight="1">
      <c r="A41" s="354"/>
      <c r="B41" s="351"/>
      <c r="C41" s="14" t="s">
        <v>4</v>
      </c>
      <c r="D41" s="336" t="s">
        <v>501</v>
      </c>
      <c r="E41" s="337"/>
      <c r="F41" s="337"/>
      <c r="G41" s="337"/>
      <c r="H41" s="337"/>
      <c r="I41" s="337"/>
      <c r="J41" s="337"/>
      <c r="K41" s="337"/>
      <c r="L41" s="337"/>
      <c r="M41" s="337"/>
      <c r="N41" s="337"/>
      <c r="O41" s="452"/>
    </row>
    <row r="42" spans="1:15" ht="15" customHeight="1">
      <c r="A42" s="354"/>
      <c r="B42" s="352"/>
      <c r="C42" s="16" t="s">
        <v>4</v>
      </c>
      <c r="D42" s="321" t="s">
        <v>184</v>
      </c>
      <c r="E42" s="322"/>
      <c r="F42" s="322"/>
      <c r="G42" s="322"/>
      <c r="H42" s="322"/>
      <c r="I42" s="322"/>
      <c r="J42" s="322"/>
      <c r="K42" s="322"/>
      <c r="L42" s="322"/>
      <c r="M42" s="322"/>
      <c r="N42" s="322"/>
      <c r="O42" s="452"/>
    </row>
    <row r="43" spans="1:15" ht="15" customHeight="1">
      <c r="A43" s="354"/>
      <c r="B43" s="7" t="s">
        <v>519</v>
      </c>
      <c r="C43" s="9" t="s">
        <v>4</v>
      </c>
      <c r="D43" s="10" t="s">
        <v>495</v>
      </c>
      <c r="E43" s="21" t="s">
        <v>633</v>
      </c>
      <c r="F43" s="21" t="s">
        <v>634</v>
      </c>
      <c r="G43" s="21" t="s">
        <v>635</v>
      </c>
      <c r="H43" s="21" t="s">
        <v>636</v>
      </c>
      <c r="I43" s="21" t="s">
        <v>637</v>
      </c>
      <c r="J43" s="21" t="s">
        <v>638</v>
      </c>
      <c r="K43" s="21" t="s">
        <v>639</v>
      </c>
      <c r="L43" s="10" t="s">
        <v>105</v>
      </c>
      <c r="M43" s="10" t="s">
        <v>106</v>
      </c>
      <c r="N43" s="88" t="s">
        <v>631</v>
      </c>
      <c r="O43" s="452"/>
    </row>
    <row r="44" spans="1:15" ht="15" customHeight="1">
      <c r="A44" s="354"/>
      <c r="B44" s="457" t="s">
        <v>224</v>
      </c>
      <c r="C44" s="11" t="s">
        <v>498</v>
      </c>
      <c r="D44" s="82"/>
      <c r="E44" s="82"/>
      <c r="F44" s="82"/>
      <c r="G44" s="82"/>
      <c r="H44" s="82"/>
      <c r="I44" s="82"/>
      <c r="J44" s="82"/>
      <c r="K44" s="82"/>
      <c r="L44" s="12" t="s">
        <v>4</v>
      </c>
      <c r="M44" s="12" t="s">
        <v>4</v>
      </c>
      <c r="N44" s="16" t="s">
        <v>4</v>
      </c>
      <c r="O44" s="452"/>
    </row>
    <row r="45" spans="1:15" ht="15" customHeight="1">
      <c r="A45" s="354"/>
      <c r="B45" s="458"/>
      <c r="C45" s="11" t="s">
        <v>500</v>
      </c>
      <c r="D45" s="13" t="s">
        <v>4</v>
      </c>
      <c r="E45" s="13"/>
      <c r="F45" s="13"/>
      <c r="G45" s="13"/>
      <c r="H45" s="13"/>
      <c r="I45" s="13"/>
      <c r="J45" s="13"/>
      <c r="K45" s="13"/>
      <c r="L45" s="12" t="s">
        <v>4</v>
      </c>
      <c r="M45" s="12" t="s">
        <v>4</v>
      </c>
      <c r="N45" s="16" t="s">
        <v>4</v>
      </c>
      <c r="O45" s="452"/>
    </row>
    <row r="46" spans="1:15" ht="15" customHeight="1">
      <c r="A46" s="354"/>
      <c r="B46" s="458"/>
      <c r="C46" s="14" t="s">
        <v>4</v>
      </c>
      <c r="D46" s="336" t="s">
        <v>501</v>
      </c>
      <c r="E46" s="337"/>
      <c r="F46" s="337"/>
      <c r="G46" s="337"/>
      <c r="H46" s="337"/>
      <c r="I46" s="337"/>
      <c r="J46" s="337"/>
      <c r="K46" s="337"/>
      <c r="L46" s="337"/>
      <c r="M46" s="337"/>
      <c r="N46" s="337"/>
      <c r="O46" s="452"/>
    </row>
    <row r="47" spans="1:15" ht="15" customHeight="1">
      <c r="A47" s="354"/>
      <c r="B47" s="459"/>
      <c r="C47" s="16" t="s">
        <v>4</v>
      </c>
      <c r="D47" s="321" t="s">
        <v>197</v>
      </c>
      <c r="E47" s="322"/>
      <c r="F47" s="322"/>
      <c r="G47" s="322"/>
      <c r="H47" s="322"/>
      <c r="I47" s="322"/>
      <c r="J47" s="322"/>
      <c r="K47" s="322"/>
      <c r="L47" s="322"/>
      <c r="M47" s="322"/>
      <c r="N47" s="322"/>
      <c r="O47" s="452"/>
    </row>
    <row r="48" spans="1:15" ht="15" customHeight="1">
      <c r="A48" s="354"/>
      <c r="B48" s="7" t="s">
        <v>520</v>
      </c>
      <c r="C48" s="9" t="s">
        <v>4</v>
      </c>
      <c r="D48" s="10" t="s">
        <v>495</v>
      </c>
      <c r="E48" s="21" t="s">
        <v>633</v>
      </c>
      <c r="F48" s="21" t="s">
        <v>634</v>
      </c>
      <c r="G48" s="21" t="s">
        <v>635</v>
      </c>
      <c r="H48" s="21" t="s">
        <v>636</v>
      </c>
      <c r="I48" s="21" t="s">
        <v>637</v>
      </c>
      <c r="J48" s="21" t="s">
        <v>638</v>
      </c>
      <c r="K48" s="21" t="s">
        <v>639</v>
      </c>
      <c r="L48" s="10" t="s">
        <v>105</v>
      </c>
      <c r="M48" s="10" t="s">
        <v>106</v>
      </c>
      <c r="N48" s="88" t="s">
        <v>631</v>
      </c>
      <c r="O48" s="452"/>
    </row>
    <row r="49" spans="1:15" ht="15" customHeight="1">
      <c r="A49" s="354"/>
      <c r="B49" s="350" t="s">
        <v>521</v>
      </c>
      <c r="C49" s="11" t="s">
        <v>498</v>
      </c>
      <c r="D49" s="83"/>
      <c r="E49" s="83"/>
      <c r="F49" s="83"/>
      <c r="G49" s="83"/>
      <c r="H49" s="83"/>
      <c r="I49" s="83"/>
      <c r="J49" s="83"/>
      <c r="K49" s="83"/>
      <c r="L49" s="12" t="s">
        <v>4</v>
      </c>
      <c r="M49" s="12" t="s">
        <v>4</v>
      </c>
      <c r="N49" s="16" t="s">
        <v>4</v>
      </c>
      <c r="O49" s="452"/>
    </row>
    <row r="50" spans="1:15" ht="15" customHeight="1">
      <c r="A50" s="354"/>
      <c r="B50" s="351"/>
      <c r="C50" s="11" t="s">
        <v>500</v>
      </c>
      <c r="D50" s="13" t="s">
        <v>4</v>
      </c>
      <c r="E50" s="13"/>
      <c r="F50" s="13"/>
      <c r="G50" s="13"/>
      <c r="H50" s="13"/>
      <c r="I50" s="13"/>
      <c r="J50" s="13"/>
      <c r="K50" s="13"/>
      <c r="L50" s="12" t="s">
        <v>4</v>
      </c>
      <c r="M50" s="12" t="s">
        <v>4</v>
      </c>
      <c r="N50" s="16" t="s">
        <v>4</v>
      </c>
      <c r="O50" s="452"/>
    </row>
    <row r="51" spans="1:15" ht="15" customHeight="1">
      <c r="A51" s="354"/>
      <c r="B51" s="351"/>
      <c r="C51" s="14" t="s">
        <v>4</v>
      </c>
      <c r="D51" s="336" t="s">
        <v>501</v>
      </c>
      <c r="E51" s="337"/>
      <c r="F51" s="337"/>
      <c r="G51" s="337"/>
      <c r="H51" s="337"/>
      <c r="I51" s="337"/>
      <c r="J51" s="337"/>
      <c r="K51" s="337"/>
      <c r="L51" s="337"/>
      <c r="M51" s="337"/>
      <c r="N51" s="337"/>
      <c r="O51" s="452"/>
    </row>
    <row r="52" spans="1:15" ht="15" customHeight="1">
      <c r="A52" s="355"/>
      <c r="B52" s="352"/>
      <c r="C52" s="16" t="s">
        <v>4</v>
      </c>
      <c r="D52" s="321" t="s">
        <v>184</v>
      </c>
      <c r="E52" s="322"/>
      <c r="F52" s="322"/>
      <c r="G52" s="322"/>
      <c r="H52" s="322"/>
      <c r="I52" s="322"/>
      <c r="J52" s="322"/>
      <c r="K52" s="322"/>
      <c r="L52" s="322"/>
      <c r="M52" s="322"/>
      <c r="N52" s="322"/>
      <c r="O52" s="453"/>
    </row>
    <row r="53" spans="1:15" ht="12.6">
      <c r="A53" s="19" t="s">
        <v>7</v>
      </c>
      <c r="B53" s="20" t="s">
        <v>505</v>
      </c>
      <c r="C53" s="20" t="s">
        <v>4</v>
      </c>
      <c r="D53" s="21" t="s">
        <v>495</v>
      </c>
      <c r="E53" s="21" t="s">
        <v>633</v>
      </c>
      <c r="F53" s="21" t="s">
        <v>634</v>
      </c>
      <c r="G53" s="21" t="s">
        <v>635</v>
      </c>
      <c r="H53" s="21" t="s">
        <v>636</v>
      </c>
      <c r="I53" s="21" t="s">
        <v>637</v>
      </c>
      <c r="J53" s="21" t="s">
        <v>638</v>
      </c>
      <c r="K53" s="21" t="s">
        <v>639</v>
      </c>
      <c r="L53" s="21" t="s">
        <v>105</v>
      </c>
      <c r="M53" s="21" t="s">
        <v>106</v>
      </c>
      <c r="N53" s="21" t="s">
        <v>631</v>
      </c>
      <c r="O53" s="84" t="s">
        <v>496</v>
      </c>
    </row>
    <row r="54" spans="1:15" ht="21.75" customHeight="1">
      <c r="A54" s="460" t="s">
        <v>640</v>
      </c>
      <c r="B54" s="463" t="s">
        <v>524</v>
      </c>
      <c r="C54" s="11" t="s">
        <v>498</v>
      </c>
      <c r="D54" s="87" t="s">
        <v>4</v>
      </c>
      <c r="E54" s="87"/>
      <c r="F54" s="87"/>
      <c r="G54" s="87"/>
      <c r="H54" s="87"/>
      <c r="I54" s="87"/>
      <c r="J54" s="87"/>
      <c r="K54" s="87"/>
      <c r="L54" s="12" t="s">
        <v>4</v>
      </c>
      <c r="M54" s="12" t="s">
        <v>4</v>
      </c>
      <c r="N54" s="16" t="s">
        <v>4</v>
      </c>
      <c r="O54" s="328"/>
    </row>
    <row r="55" spans="1:15" ht="12.95" customHeight="1">
      <c r="A55" s="461"/>
      <c r="B55" s="464"/>
      <c r="C55" s="11" t="s">
        <v>500</v>
      </c>
      <c r="D55" s="13" t="s">
        <v>4</v>
      </c>
      <c r="E55" s="13"/>
      <c r="F55" s="13"/>
      <c r="G55" s="13"/>
      <c r="H55" s="13"/>
      <c r="I55" s="13"/>
      <c r="J55" s="13"/>
      <c r="K55" s="13"/>
      <c r="L55" s="12" t="s">
        <v>4</v>
      </c>
      <c r="M55" s="12" t="s">
        <v>4</v>
      </c>
      <c r="N55" s="16" t="s">
        <v>4</v>
      </c>
      <c r="O55" s="329"/>
    </row>
    <row r="56" spans="1:15" ht="12.95" customHeight="1">
      <c r="A56" s="461"/>
      <c r="B56" s="464"/>
      <c r="C56" s="14" t="s">
        <v>4</v>
      </c>
      <c r="D56" s="336" t="s">
        <v>501</v>
      </c>
      <c r="E56" s="337"/>
      <c r="F56" s="337"/>
      <c r="G56" s="337"/>
      <c r="H56" s="337"/>
      <c r="I56" s="337"/>
      <c r="J56" s="337"/>
      <c r="K56" s="337"/>
      <c r="L56" s="337"/>
      <c r="M56" s="337"/>
      <c r="N56" s="337"/>
      <c r="O56" s="329"/>
    </row>
    <row r="57" spans="1:15" ht="20.45" customHeight="1">
      <c r="A57" s="462"/>
      <c r="B57" s="465"/>
      <c r="C57" s="16" t="s">
        <v>4</v>
      </c>
      <c r="D57" s="321" t="s">
        <v>236</v>
      </c>
      <c r="E57" s="322"/>
      <c r="F57" s="322"/>
      <c r="G57" s="322"/>
      <c r="H57" s="322"/>
      <c r="I57" s="322"/>
      <c r="J57" s="322"/>
      <c r="K57" s="322"/>
      <c r="L57" s="322"/>
      <c r="M57" s="322"/>
      <c r="N57" s="322"/>
      <c r="O57" s="330"/>
    </row>
    <row r="58" spans="1:15" ht="12.6">
      <c r="A58" s="356" t="s">
        <v>527</v>
      </c>
      <c r="B58" s="22" t="s">
        <v>528</v>
      </c>
      <c r="C58" s="22" t="s">
        <v>4</v>
      </c>
      <c r="D58" s="22" t="s">
        <v>529</v>
      </c>
      <c r="E58" s="22"/>
      <c r="F58" s="22"/>
      <c r="G58" s="22"/>
      <c r="H58" s="22"/>
      <c r="I58" s="22"/>
      <c r="J58" s="22"/>
      <c r="K58" s="22"/>
      <c r="L58" s="22" t="s">
        <v>641</v>
      </c>
      <c r="M58" s="22" t="s">
        <v>642</v>
      </c>
      <c r="N58" s="454" t="s">
        <v>643</v>
      </c>
      <c r="O58" s="455"/>
    </row>
    <row r="59" spans="1:15" ht="12.6">
      <c r="A59" s="357"/>
      <c r="B59" s="11" t="s">
        <v>4</v>
      </c>
      <c r="C59" s="11" t="s">
        <v>4</v>
      </c>
      <c r="D59" s="11" t="s">
        <v>4</v>
      </c>
      <c r="E59" s="11"/>
      <c r="F59" s="11"/>
      <c r="G59" s="11"/>
      <c r="H59" s="11"/>
      <c r="I59" s="11"/>
      <c r="J59" s="11"/>
      <c r="K59" s="11"/>
      <c r="L59" s="11" t="s">
        <v>4</v>
      </c>
      <c r="M59" s="11" t="s">
        <v>4</v>
      </c>
      <c r="N59" s="456" t="s">
        <v>4</v>
      </c>
      <c r="O59" s="335"/>
    </row>
    <row r="60" spans="1:15" ht="12.6">
      <c r="A60" s="383" t="s">
        <v>530</v>
      </c>
      <c r="B60" s="22" t="s">
        <v>531</v>
      </c>
      <c r="C60" s="22" t="s">
        <v>4</v>
      </c>
      <c r="D60" s="358" t="s">
        <v>4</v>
      </c>
      <c r="E60" s="359"/>
      <c r="F60" s="359"/>
      <c r="G60" s="359"/>
      <c r="H60" s="359"/>
      <c r="I60" s="359"/>
      <c r="J60" s="359"/>
      <c r="K60" s="359"/>
      <c r="L60" s="359"/>
      <c r="M60" s="359"/>
      <c r="N60" s="359"/>
      <c r="O60" s="360"/>
    </row>
    <row r="61" spans="1:15" ht="12.6">
      <c r="A61" s="357"/>
      <c r="B61" s="11" t="s">
        <v>4</v>
      </c>
      <c r="C61" s="23" t="s">
        <v>4</v>
      </c>
      <c r="D61" s="361"/>
      <c r="E61" s="362"/>
      <c r="F61" s="362"/>
      <c r="G61" s="362"/>
      <c r="H61" s="362"/>
      <c r="I61" s="362"/>
      <c r="J61" s="362"/>
      <c r="K61" s="362"/>
      <c r="L61" s="362"/>
      <c r="M61" s="362"/>
      <c r="N61" s="362"/>
      <c r="O61" s="363"/>
    </row>
    <row r="62" spans="1:15" ht="12.6">
      <c r="A62" s="18"/>
      <c r="B62" s="18"/>
      <c r="C62" s="18"/>
      <c r="D62" s="18"/>
      <c r="E62" s="18"/>
      <c r="F62" s="18"/>
      <c r="G62" s="18"/>
      <c r="H62" s="18"/>
      <c r="I62" s="18"/>
      <c r="J62" s="18"/>
      <c r="K62" s="18"/>
      <c r="L62" s="18"/>
      <c r="M62" s="18"/>
      <c r="N62" s="18"/>
      <c r="O62" s="18"/>
    </row>
    <row r="63" spans="1:15" ht="12.6">
      <c r="A63" s="19" t="s">
        <v>532</v>
      </c>
      <c r="B63" s="20" t="s">
        <v>533</v>
      </c>
      <c r="C63" s="24" t="s">
        <v>4</v>
      </c>
      <c r="D63" s="21" t="s">
        <v>495</v>
      </c>
      <c r="E63" s="21" t="s">
        <v>633</v>
      </c>
      <c r="F63" s="21" t="s">
        <v>634</v>
      </c>
      <c r="G63" s="21" t="s">
        <v>635</v>
      </c>
      <c r="H63" s="21" t="s">
        <v>636</v>
      </c>
      <c r="I63" s="21" t="s">
        <v>644</v>
      </c>
      <c r="J63" s="21" t="s">
        <v>638</v>
      </c>
      <c r="K63" s="21" t="s">
        <v>639</v>
      </c>
      <c r="L63" s="21" t="s">
        <v>105</v>
      </c>
      <c r="M63" s="21" t="s">
        <v>106</v>
      </c>
      <c r="N63" s="21" t="s">
        <v>645</v>
      </c>
      <c r="O63" s="89" t="s">
        <v>496</v>
      </c>
    </row>
    <row r="64" spans="1:15" ht="20.25" customHeight="1">
      <c r="A64" s="364" t="s">
        <v>534</v>
      </c>
      <c r="B64" s="350" t="s">
        <v>535</v>
      </c>
      <c r="C64" s="11" t="s">
        <v>498</v>
      </c>
      <c r="D64" s="11"/>
      <c r="E64" s="11"/>
      <c r="F64" s="11"/>
      <c r="G64" s="11"/>
      <c r="H64" s="11"/>
      <c r="I64" s="11"/>
      <c r="J64" s="11"/>
      <c r="K64" s="11"/>
      <c r="L64" s="12" t="s">
        <v>4</v>
      </c>
      <c r="M64" s="12" t="s">
        <v>4</v>
      </c>
      <c r="N64" s="16" t="s">
        <v>4</v>
      </c>
      <c r="O64" s="121" t="s">
        <v>4</v>
      </c>
    </row>
    <row r="65" spans="1:15" ht="12.95" customHeight="1">
      <c r="A65" s="365"/>
      <c r="B65" s="351"/>
      <c r="C65" s="11" t="s">
        <v>500</v>
      </c>
      <c r="D65" s="13" t="s">
        <v>4</v>
      </c>
      <c r="E65" s="13"/>
      <c r="F65" s="13"/>
      <c r="G65" s="13"/>
      <c r="H65" s="13"/>
      <c r="I65" s="13"/>
      <c r="J65" s="13"/>
      <c r="K65" s="13"/>
      <c r="L65" s="12" t="s">
        <v>4</v>
      </c>
      <c r="M65" s="12" t="s">
        <v>4</v>
      </c>
      <c r="N65" s="16" t="s">
        <v>4</v>
      </c>
      <c r="O65" s="122"/>
    </row>
    <row r="66" spans="1:15" ht="12.95" customHeight="1">
      <c r="A66" s="365"/>
      <c r="B66" s="352"/>
      <c r="C66" s="14" t="s">
        <v>4</v>
      </c>
      <c r="D66" s="126" t="s">
        <v>501</v>
      </c>
      <c r="E66" s="127"/>
      <c r="F66" s="127"/>
      <c r="G66" s="127"/>
      <c r="H66" s="127"/>
      <c r="I66" s="127"/>
      <c r="J66" s="127"/>
      <c r="K66" s="127"/>
      <c r="L66" s="127"/>
      <c r="M66" s="127"/>
      <c r="N66" s="127"/>
      <c r="O66" s="122"/>
    </row>
    <row r="67" spans="1:15" ht="12.95" customHeight="1">
      <c r="A67" s="365"/>
      <c r="B67" s="130"/>
      <c r="C67" s="14"/>
      <c r="D67" s="124" t="s">
        <v>184</v>
      </c>
      <c r="E67" s="125"/>
      <c r="F67" s="125"/>
      <c r="G67" s="125"/>
      <c r="H67" s="125"/>
      <c r="I67" s="125"/>
      <c r="J67" s="125"/>
      <c r="K67" s="125"/>
      <c r="L67" s="125"/>
      <c r="M67" s="125"/>
      <c r="N67" s="125"/>
      <c r="O67" s="122"/>
    </row>
    <row r="68" spans="1:15" ht="12.95" customHeight="1">
      <c r="A68" s="365"/>
      <c r="B68" s="9" t="s">
        <v>536</v>
      </c>
      <c r="C68" s="16" t="s">
        <v>4</v>
      </c>
      <c r="D68" s="10" t="s">
        <v>495</v>
      </c>
      <c r="E68" s="21" t="s">
        <v>633</v>
      </c>
      <c r="F68" s="21" t="s">
        <v>634</v>
      </c>
      <c r="G68" s="21" t="s">
        <v>635</v>
      </c>
      <c r="H68" s="21" t="s">
        <v>636</v>
      </c>
      <c r="I68" s="21" t="s">
        <v>646</v>
      </c>
      <c r="J68" s="21" t="s">
        <v>638</v>
      </c>
      <c r="K68" s="21" t="s">
        <v>639</v>
      </c>
      <c r="L68" s="21" t="s">
        <v>105</v>
      </c>
      <c r="M68" s="21" t="s">
        <v>106</v>
      </c>
      <c r="N68" s="21" t="s">
        <v>645</v>
      </c>
      <c r="O68" s="89" t="s">
        <v>496</v>
      </c>
    </row>
    <row r="69" spans="1:15" ht="12.95" customHeight="1">
      <c r="A69" s="365"/>
      <c r="B69" s="350" t="s">
        <v>537</v>
      </c>
      <c r="C69" s="25" t="s">
        <v>498</v>
      </c>
      <c r="D69" s="11"/>
      <c r="E69" s="11"/>
      <c r="F69" s="11"/>
      <c r="G69" s="11"/>
      <c r="H69" s="11"/>
      <c r="I69" s="11"/>
      <c r="J69" s="11"/>
      <c r="K69" s="11"/>
      <c r="L69" s="12" t="s">
        <v>4</v>
      </c>
      <c r="M69" s="12" t="s">
        <v>4</v>
      </c>
      <c r="N69" s="16" t="s">
        <v>4</v>
      </c>
      <c r="O69" s="122"/>
    </row>
    <row r="70" spans="1:15" ht="12.95" customHeight="1">
      <c r="A70" s="365"/>
      <c r="B70" s="351"/>
      <c r="C70" s="24" t="s">
        <v>500</v>
      </c>
      <c r="D70" s="26" t="s">
        <v>4</v>
      </c>
      <c r="E70" s="26"/>
      <c r="F70" s="26"/>
      <c r="G70" s="26"/>
      <c r="H70" s="26"/>
      <c r="I70" s="26"/>
      <c r="J70" s="26"/>
      <c r="K70" s="26"/>
      <c r="L70" s="27" t="s">
        <v>4</v>
      </c>
      <c r="M70" s="12" t="s">
        <v>4</v>
      </c>
      <c r="N70" s="16" t="s">
        <v>4</v>
      </c>
      <c r="O70" s="122"/>
    </row>
    <row r="71" spans="1:15" ht="12.95" customHeight="1">
      <c r="A71" s="365"/>
      <c r="B71" s="351"/>
      <c r="C71" s="14" t="s">
        <v>4</v>
      </c>
      <c r="D71" s="126" t="s">
        <v>501</v>
      </c>
      <c r="E71" s="127"/>
      <c r="F71" s="127"/>
      <c r="G71" s="127"/>
      <c r="H71" s="127"/>
      <c r="I71" s="127"/>
      <c r="J71" s="127"/>
      <c r="K71" s="127"/>
      <c r="L71" s="127"/>
      <c r="M71" s="127"/>
      <c r="N71" s="127"/>
      <c r="O71" s="122"/>
    </row>
    <row r="72" spans="1:15" ht="12.95" customHeight="1">
      <c r="A72" s="365"/>
      <c r="B72" s="352"/>
      <c r="C72" s="16" t="s">
        <v>4</v>
      </c>
      <c r="D72" s="124" t="s">
        <v>184</v>
      </c>
      <c r="E72" s="125"/>
      <c r="F72" s="125"/>
      <c r="G72" s="125"/>
      <c r="H72" s="125"/>
      <c r="I72" s="125"/>
      <c r="J72" s="125"/>
      <c r="K72" s="125"/>
      <c r="L72" s="125"/>
      <c r="M72" s="125"/>
      <c r="N72" s="125"/>
      <c r="O72" s="122"/>
    </row>
    <row r="73" spans="1:15" ht="12.95" customHeight="1">
      <c r="A73" s="365"/>
      <c r="B73" s="9" t="s">
        <v>539</v>
      </c>
      <c r="C73" s="9" t="s">
        <v>4</v>
      </c>
      <c r="D73" s="10" t="s">
        <v>495</v>
      </c>
      <c r="E73" s="21" t="s">
        <v>633</v>
      </c>
      <c r="F73" s="21" t="s">
        <v>634</v>
      </c>
      <c r="G73" s="21" t="s">
        <v>635</v>
      </c>
      <c r="H73" s="21" t="s">
        <v>636</v>
      </c>
      <c r="I73" s="21" t="s">
        <v>644</v>
      </c>
      <c r="J73" s="21" t="s">
        <v>638</v>
      </c>
      <c r="K73" s="21" t="s">
        <v>639</v>
      </c>
      <c r="L73" s="21" t="s">
        <v>105</v>
      </c>
      <c r="M73" s="21" t="s">
        <v>106</v>
      </c>
      <c r="N73" s="21" t="s">
        <v>645</v>
      </c>
      <c r="O73" s="89" t="s">
        <v>496</v>
      </c>
    </row>
    <row r="74" spans="1:15" ht="19.5" customHeight="1">
      <c r="A74" s="365"/>
      <c r="B74" s="350" t="s">
        <v>540</v>
      </c>
      <c r="C74" s="25" t="s">
        <v>498</v>
      </c>
      <c r="D74" s="11"/>
      <c r="E74" s="11"/>
      <c r="F74" s="11"/>
      <c r="G74" s="11"/>
      <c r="H74" s="11"/>
      <c r="I74" s="11"/>
      <c r="J74" s="11"/>
      <c r="K74" s="11"/>
      <c r="L74" s="12" t="s">
        <v>4</v>
      </c>
      <c r="M74" s="12" t="s">
        <v>4</v>
      </c>
      <c r="N74" s="16" t="s">
        <v>4</v>
      </c>
      <c r="O74" s="122"/>
    </row>
    <row r="75" spans="1:15" ht="12.95" customHeight="1">
      <c r="A75" s="365"/>
      <c r="B75" s="351"/>
      <c r="C75" s="24" t="s">
        <v>500</v>
      </c>
      <c r="D75" s="26" t="s">
        <v>4</v>
      </c>
      <c r="E75" s="26"/>
      <c r="F75" s="26"/>
      <c r="G75" s="26"/>
      <c r="H75" s="26"/>
      <c r="I75" s="26"/>
      <c r="J75" s="26"/>
      <c r="K75" s="26"/>
      <c r="L75" s="27" t="s">
        <v>4</v>
      </c>
      <c r="M75" s="12" t="s">
        <v>4</v>
      </c>
      <c r="N75" s="16" t="s">
        <v>4</v>
      </c>
      <c r="O75" s="122"/>
    </row>
    <row r="76" spans="1:15" ht="12.95" customHeight="1">
      <c r="A76" s="365"/>
      <c r="B76" s="351"/>
      <c r="C76" s="14" t="s">
        <v>4</v>
      </c>
      <c r="D76" s="126" t="s">
        <v>501</v>
      </c>
      <c r="E76" s="127"/>
      <c r="F76" s="127"/>
      <c r="G76" s="127"/>
      <c r="H76" s="127"/>
      <c r="I76" s="127"/>
      <c r="J76" s="127"/>
      <c r="K76" s="127"/>
      <c r="L76" s="127"/>
      <c r="M76" s="127"/>
      <c r="N76" s="127"/>
      <c r="O76" s="122"/>
    </row>
    <row r="77" spans="1:15" ht="12.95" customHeight="1">
      <c r="A77" s="365"/>
      <c r="B77" s="352"/>
      <c r="C77" s="16" t="s">
        <v>4</v>
      </c>
      <c r="D77" s="124" t="s">
        <v>184</v>
      </c>
      <c r="E77" s="125"/>
      <c r="F77" s="125"/>
      <c r="G77" s="125"/>
      <c r="H77" s="125"/>
      <c r="I77" s="125"/>
      <c r="J77" s="125"/>
      <c r="K77" s="125"/>
      <c r="L77" s="125"/>
      <c r="M77" s="125"/>
      <c r="N77" s="125"/>
      <c r="O77" s="122"/>
    </row>
    <row r="78" spans="1:15" ht="12.95" customHeight="1">
      <c r="A78" s="365"/>
      <c r="B78" s="9" t="s">
        <v>541</v>
      </c>
      <c r="C78" s="9" t="s">
        <v>4</v>
      </c>
      <c r="D78" s="10" t="s">
        <v>495</v>
      </c>
      <c r="E78" s="21" t="s">
        <v>633</v>
      </c>
      <c r="F78" s="21" t="s">
        <v>634</v>
      </c>
      <c r="G78" s="21" t="s">
        <v>635</v>
      </c>
      <c r="H78" s="21" t="s">
        <v>636</v>
      </c>
      <c r="I78" s="21" t="s">
        <v>644</v>
      </c>
      <c r="J78" s="21" t="s">
        <v>638</v>
      </c>
      <c r="K78" s="21" t="s">
        <v>639</v>
      </c>
      <c r="L78" s="21" t="s">
        <v>105</v>
      </c>
      <c r="M78" s="21" t="s">
        <v>106</v>
      </c>
      <c r="N78" s="21" t="s">
        <v>645</v>
      </c>
      <c r="O78" s="89" t="s">
        <v>496</v>
      </c>
    </row>
    <row r="79" spans="1:15" ht="19.5" customHeight="1">
      <c r="A79" s="365"/>
      <c r="B79" s="350" t="s">
        <v>244</v>
      </c>
      <c r="C79" s="25" t="s">
        <v>498</v>
      </c>
      <c r="D79" s="11"/>
      <c r="E79" s="11"/>
      <c r="F79" s="92"/>
      <c r="G79" s="11"/>
      <c r="H79" s="11"/>
      <c r="I79" s="11"/>
      <c r="J79" s="11"/>
      <c r="K79" s="11"/>
      <c r="L79" s="12" t="s">
        <v>4</v>
      </c>
      <c r="M79" s="12" t="s">
        <v>4</v>
      </c>
      <c r="N79" s="16" t="s">
        <v>4</v>
      </c>
      <c r="O79" s="122"/>
    </row>
    <row r="80" spans="1:15" ht="12.95" customHeight="1">
      <c r="A80" s="365"/>
      <c r="B80" s="351"/>
      <c r="C80" s="24" t="s">
        <v>500</v>
      </c>
      <c r="D80" s="26" t="s">
        <v>4</v>
      </c>
      <c r="E80" s="26"/>
      <c r="F80" s="26"/>
      <c r="G80" s="26"/>
      <c r="H80" s="26"/>
      <c r="I80" s="26"/>
      <c r="J80" s="26"/>
      <c r="K80" s="26"/>
      <c r="L80" s="27" t="s">
        <v>4</v>
      </c>
      <c r="M80" s="12" t="s">
        <v>4</v>
      </c>
      <c r="N80" s="16" t="s">
        <v>4</v>
      </c>
      <c r="O80" s="122"/>
    </row>
    <row r="81" spans="1:15" ht="12.95" customHeight="1">
      <c r="A81" s="365"/>
      <c r="B81" s="352"/>
      <c r="C81" s="14" t="s">
        <v>4</v>
      </c>
      <c r="D81" s="126" t="s">
        <v>501</v>
      </c>
      <c r="E81" s="127"/>
      <c r="F81" s="127"/>
      <c r="G81" s="127"/>
      <c r="H81" s="127"/>
      <c r="I81" s="127"/>
      <c r="J81" s="127"/>
      <c r="K81" s="127"/>
      <c r="L81" s="127"/>
      <c r="M81" s="127"/>
      <c r="N81" s="127"/>
      <c r="O81" s="122"/>
    </row>
    <row r="82" spans="1:15" ht="12.95" customHeight="1">
      <c r="A82" s="365"/>
      <c r="B82" s="81"/>
      <c r="C82" s="16" t="s">
        <v>4</v>
      </c>
      <c r="D82" s="124" t="s">
        <v>184</v>
      </c>
      <c r="E82" s="125"/>
      <c r="F82" s="125"/>
      <c r="G82" s="125"/>
      <c r="H82" s="125"/>
      <c r="I82" s="125"/>
      <c r="J82" s="125"/>
      <c r="K82" s="125"/>
      <c r="L82" s="125"/>
      <c r="M82" s="125"/>
      <c r="N82" s="125"/>
      <c r="O82" s="122"/>
    </row>
    <row r="83" spans="1:15" ht="15" customHeight="1">
      <c r="A83" s="365"/>
      <c r="B83" s="7" t="s">
        <v>542</v>
      </c>
      <c r="C83" s="9" t="s">
        <v>4</v>
      </c>
      <c r="D83" s="10" t="s">
        <v>495</v>
      </c>
      <c r="E83" s="21" t="s">
        <v>633</v>
      </c>
      <c r="F83" s="21" t="s">
        <v>634</v>
      </c>
      <c r="G83" s="21" t="s">
        <v>635</v>
      </c>
      <c r="H83" s="21" t="s">
        <v>636</v>
      </c>
      <c r="I83" s="21" t="s">
        <v>637</v>
      </c>
      <c r="J83" s="21" t="s">
        <v>638</v>
      </c>
      <c r="K83" s="21" t="s">
        <v>639</v>
      </c>
      <c r="L83" s="21" t="s">
        <v>105</v>
      </c>
      <c r="M83" s="21" t="s">
        <v>106</v>
      </c>
      <c r="N83" s="21" t="s">
        <v>645</v>
      </c>
      <c r="O83" s="89" t="s">
        <v>496</v>
      </c>
    </row>
    <row r="84" spans="1:15" ht="20.25" customHeight="1">
      <c r="A84" s="365"/>
      <c r="B84" s="350" t="s">
        <v>248</v>
      </c>
      <c r="C84" s="25" t="s">
        <v>498</v>
      </c>
      <c r="D84" s="86"/>
      <c r="E84" s="86"/>
      <c r="F84" s="86"/>
      <c r="G84" s="86"/>
      <c r="H84" s="86"/>
      <c r="I84" s="86"/>
      <c r="J84" s="86"/>
      <c r="K84" s="86"/>
      <c r="L84" s="12" t="s">
        <v>4</v>
      </c>
      <c r="M84" s="12" t="s">
        <v>4</v>
      </c>
      <c r="N84" s="16" t="s">
        <v>4</v>
      </c>
      <c r="O84" s="122"/>
    </row>
    <row r="85" spans="1:15" ht="15" customHeight="1">
      <c r="A85" s="365"/>
      <c r="B85" s="351"/>
      <c r="C85" s="24" t="s">
        <v>500</v>
      </c>
      <c r="D85" s="26" t="s">
        <v>4</v>
      </c>
      <c r="E85" s="26"/>
      <c r="F85" s="26"/>
      <c r="G85" s="26"/>
      <c r="H85" s="26"/>
      <c r="I85" s="26"/>
      <c r="J85" s="26"/>
      <c r="K85" s="26"/>
      <c r="L85" s="27" t="s">
        <v>4</v>
      </c>
      <c r="M85" s="12" t="s">
        <v>4</v>
      </c>
      <c r="N85" s="16" t="s">
        <v>4</v>
      </c>
      <c r="O85" s="122"/>
    </row>
    <row r="86" spans="1:15" ht="15" customHeight="1">
      <c r="A86" s="365"/>
      <c r="B86" s="352"/>
      <c r="C86" s="14" t="s">
        <v>4</v>
      </c>
      <c r="D86" s="126" t="s">
        <v>501</v>
      </c>
      <c r="E86" s="127"/>
      <c r="F86" s="127"/>
      <c r="G86" s="127"/>
      <c r="H86" s="127"/>
      <c r="I86" s="127"/>
      <c r="J86" s="127"/>
      <c r="K86" s="127"/>
      <c r="L86" s="127"/>
      <c r="M86" s="127"/>
      <c r="N86" s="127"/>
      <c r="O86" s="122"/>
    </row>
    <row r="87" spans="1:15" ht="12.6">
      <c r="A87" s="366"/>
      <c r="B87" s="72" t="s">
        <v>4</v>
      </c>
      <c r="C87" s="16" t="s">
        <v>4</v>
      </c>
      <c r="D87" s="124" t="s">
        <v>622</v>
      </c>
      <c r="E87" s="125"/>
      <c r="F87" s="125"/>
      <c r="G87" s="125"/>
      <c r="H87" s="125"/>
      <c r="I87" s="125"/>
      <c r="J87" s="125"/>
      <c r="K87" s="125"/>
      <c r="L87" s="125"/>
      <c r="M87" s="125"/>
      <c r="N87" s="125"/>
      <c r="O87" s="123"/>
    </row>
    <row r="88" spans="1:15" ht="12.6">
      <c r="A88" s="356" t="s">
        <v>527</v>
      </c>
      <c r="B88" s="22" t="s">
        <v>528</v>
      </c>
      <c r="C88" s="22" t="s">
        <v>4</v>
      </c>
      <c r="D88" s="22" t="s">
        <v>529</v>
      </c>
      <c r="E88" s="22"/>
      <c r="F88" s="22"/>
      <c r="G88" s="22"/>
      <c r="H88" s="22"/>
      <c r="I88" s="22"/>
      <c r="J88" s="22"/>
      <c r="K88" s="22"/>
      <c r="L88" s="22" t="s">
        <v>641</v>
      </c>
      <c r="M88" s="22" t="s">
        <v>642</v>
      </c>
      <c r="N88" s="466" t="s">
        <v>643</v>
      </c>
      <c r="O88" s="455"/>
    </row>
    <row r="89" spans="1:15" ht="12.6">
      <c r="A89" s="357"/>
      <c r="B89" s="11" t="s">
        <v>4</v>
      </c>
      <c r="C89" s="11" t="s">
        <v>4</v>
      </c>
      <c r="D89" s="11" t="s">
        <v>4</v>
      </c>
      <c r="E89" s="11"/>
      <c r="F89" s="11"/>
      <c r="G89" s="11"/>
      <c r="H89" s="11"/>
      <c r="I89" s="11"/>
      <c r="J89" s="11"/>
      <c r="K89" s="11"/>
      <c r="L89" s="11" t="s">
        <v>4</v>
      </c>
      <c r="M89" s="11" t="s">
        <v>4</v>
      </c>
      <c r="N89" s="334" t="s">
        <v>4</v>
      </c>
      <c r="O89" s="335"/>
    </row>
    <row r="90" spans="1:15" ht="12.6">
      <c r="A90" s="356" t="s">
        <v>530</v>
      </c>
      <c r="B90" s="22" t="s">
        <v>531</v>
      </c>
      <c r="C90" s="22" t="s">
        <v>4</v>
      </c>
      <c r="D90" s="358" t="s">
        <v>4</v>
      </c>
      <c r="E90" s="359"/>
      <c r="F90" s="359"/>
      <c r="G90" s="359"/>
      <c r="H90" s="359"/>
      <c r="I90" s="359"/>
      <c r="J90" s="359"/>
      <c r="K90" s="359"/>
      <c r="L90" s="359"/>
      <c r="M90" s="359"/>
      <c r="N90" s="359"/>
      <c r="O90" s="360"/>
    </row>
    <row r="91" spans="1:15" ht="12.6">
      <c r="A91" s="357"/>
      <c r="B91" s="11" t="s">
        <v>4</v>
      </c>
      <c r="C91" s="23" t="s">
        <v>4</v>
      </c>
      <c r="D91" s="361"/>
      <c r="E91" s="362"/>
      <c r="F91" s="362"/>
      <c r="G91" s="362"/>
      <c r="H91" s="362"/>
      <c r="I91" s="362"/>
      <c r="J91" s="362"/>
      <c r="K91" s="362"/>
      <c r="L91" s="362"/>
      <c r="M91" s="362"/>
      <c r="N91" s="362"/>
      <c r="O91" s="363"/>
    </row>
    <row r="92" spans="1:15" ht="12.6">
      <c r="A92" s="18"/>
      <c r="B92" s="18"/>
      <c r="C92" s="18"/>
      <c r="D92" s="18"/>
      <c r="E92" s="18"/>
      <c r="F92" s="18"/>
      <c r="G92" s="18"/>
      <c r="H92" s="18"/>
      <c r="I92" s="18"/>
      <c r="J92" s="18"/>
      <c r="K92" s="18"/>
      <c r="L92" s="18"/>
      <c r="M92" s="18"/>
      <c r="N92" s="18"/>
      <c r="O92" s="18"/>
    </row>
    <row r="93" spans="1:15" ht="12.6">
      <c r="A93" s="18"/>
      <c r="B93" s="18"/>
      <c r="C93" s="18"/>
      <c r="D93" s="18"/>
      <c r="E93" s="18"/>
      <c r="F93" s="18"/>
      <c r="G93" s="18"/>
      <c r="H93" s="18"/>
      <c r="I93" s="18"/>
      <c r="J93" s="18"/>
      <c r="K93" s="18"/>
      <c r="L93" s="18"/>
      <c r="M93" s="18"/>
      <c r="N93" s="18"/>
      <c r="O93" s="18"/>
    </row>
    <row r="94" spans="1:15" ht="12.6">
      <c r="A94" s="19" t="s">
        <v>546</v>
      </c>
      <c r="B94" s="20" t="s">
        <v>547</v>
      </c>
      <c r="C94" s="20" t="s">
        <v>4</v>
      </c>
      <c r="D94" s="21" t="s">
        <v>495</v>
      </c>
      <c r="E94" s="21" t="s">
        <v>633</v>
      </c>
      <c r="F94" s="21" t="s">
        <v>634</v>
      </c>
      <c r="G94" s="21" t="s">
        <v>635</v>
      </c>
      <c r="H94" s="21" t="s">
        <v>636</v>
      </c>
      <c r="I94" s="21" t="s">
        <v>644</v>
      </c>
      <c r="J94" s="21" t="s">
        <v>638</v>
      </c>
      <c r="K94" s="21" t="s">
        <v>639</v>
      </c>
      <c r="L94" s="21" t="s">
        <v>105</v>
      </c>
      <c r="M94" s="21" t="s">
        <v>106</v>
      </c>
      <c r="N94" s="21" t="s">
        <v>645</v>
      </c>
      <c r="O94" s="89" t="s">
        <v>496</v>
      </c>
    </row>
    <row r="95" spans="1:15" ht="39" customHeight="1">
      <c r="A95" s="117" t="s">
        <v>548</v>
      </c>
      <c r="B95" s="350" t="s">
        <v>549</v>
      </c>
      <c r="C95" s="25" t="s">
        <v>498</v>
      </c>
      <c r="D95" s="85" t="s">
        <v>550</v>
      </c>
      <c r="E95" s="85" t="s">
        <v>552</v>
      </c>
      <c r="F95" s="85" t="s">
        <v>550</v>
      </c>
      <c r="G95" s="85">
        <v>0.05</v>
      </c>
      <c r="H95" s="85" t="s">
        <v>647</v>
      </c>
      <c r="I95" s="85">
        <v>0.05</v>
      </c>
      <c r="J95" s="85" t="s">
        <v>551</v>
      </c>
      <c r="K95" s="85" t="s">
        <v>648</v>
      </c>
      <c r="L95" s="12" t="s">
        <v>4</v>
      </c>
      <c r="M95" s="12" t="s">
        <v>4</v>
      </c>
      <c r="N95" s="16" t="s">
        <v>4</v>
      </c>
      <c r="O95" s="122"/>
    </row>
    <row r="96" spans="1:15" ht="12.95" customHeight="1">
      <c r="A96" s="118"/>
      <c r="B96" s="351"/>
      <c r="C96" s="24" t="s">
        <v>500</v>
      </c>
      <c r="D96" s="26" t="s">
        <v>4</v>
      </c>
      <c r="E96" s="26"/>
      <c r="F96" s="26"/>
      <c r="G96" s="26"/>
      <c r="H96" s="26"/>
      <c r="I96" s="26"/>
      <c r="J96" s="26"/>
      <c r="K96" s="26"/>
      <c r="L96" s="27" t="s">
        <v>4</v>
      </c>
      <c r="M96" s="12" t="s">
        <v>4</v>
      </c>
      <c r="N96" s="16" t="s">
        <v>4</v>
      </c>
      <c r="O96" s="122"/>
    </row>
    <row r="97" spans="1:15" ht="12.95" customHeight="1">
      <c r="A97" s="118"/>
      <c r="B97" s="351"/>
      <c r="C97" s="14" t="s">
        <v>4</v>
      </c>
      <c r="D97" s="126" t="s">
        <v>501</v>
      </c>
      <c r="E97" s="127"/>
      <c r="F97" s="127"/>
      <c r="G97" s="127"/>
      <c r="H97" s="127"/>
      <c r="I97" s="127"/>
      <c r="J97" s="127"/>
      <c r="K97" s="127"/>
      <c r="L97" s="127"/>
      <c r="M97" s="127"/>
      <c r="N97" s="127"/>
      <c r="O97" s="122"/>
    </row>
    <row r="98" spans="1:15" ht="12.95" customHeight="1">
      <c r="A98" s="118"/>
      <c r="B98" s="352"/>
      <c r="C98" s="16" t="s">
        <v>4</v>
      </c>
      <c r="D98" s="124" t="s">
        <v>184</v>
      </c>
      <c r="E98" s="125"/>
      <c r="F98" s="125"/>
      <c r="G98" s="125"/>
      <c r="H98" s="125"/>
      <c r="I98" s="125"/>
      <c r="J98" s="125"/>
      <c r="K98" s="125"/>
      <c r="L98" s="125"/>
      <c r="M98" s="125"/>
      <c r="N98" s="125"/>
      <c r="O98" s="122"/>
    </row>
    <row r="99" spans="1:15" ht="12.75" customHeight="1">
      <c r="A99" s="118"/>
      <c r="B99" s="9" t="s">
        <v>555</v>
      </c>
      <c r="C99" s="9"/>
      <c r="D99" s="10" t="s">
        <v>495</v>
      </c>
      <c r="E99" s="21" t="s">
        <v>633</v>
      </c>
      <c r="F99" s="21" t="s">
        <v>634</v>
      </c>
      <c r="G99" s="21" t="s">
        <v>635</v>
      </c>
      <c r="H99" s="21" t="s">
        <v>636</v>
      </c>
      <c r="I99" s="21" t="s">
        <v>637</v>
      </c>
      <c r="J99" s="21" t="s">
        <v>638</v>
      </c>
      <c r="K99" s="21" t="s">
        <v>639</v>
      </c>
      <c r="L99" s="21" t="s">
        <v>105</v>
      </c>
      <c r="M99" s="21" t="s">
        <v>106</v>
      </c>
      <c r="N99" s="21" t="s">
        <v>645</v>
      </c>
      <c r="O99" s="89" t="s">
        <v>496</v>
      </c>
    </row>
    <row r="100" spans="1:15" ht="21" customHeight="1">
      <c r="A100" s="118"/>
      <c r="B100" s="467" t="s">
        <v>257</v>
      </c>
      <c r="C100" s="25" t="s">
        <v>498</v>
      </c>
      <c r="D100" s="11">
        <v>82.896000000000001</v>
      </c>
      <c r="E100" s="11"/>
      <c r="F100" s="11"/>
      <c r="G100" s="11"/>
      <c r="H100" s="11"/>
      <c r="I100" s="11"/>
      <c r="J100" s="11"/>
      <c r="K100" s="11"/>
      <c r="L100" s="12" t="s">
        <v>4</v>
      </c>
      <c r="M100" s="12" t="s">
        <v>4</v>
      </c>
      <c r="N100" s="16" t="s">
        <v>4</v>
      </c>
      <c r="O100" s="122"/>
    </row>
    <row r="101" spans="1:15" ht="12.95" customHeight="1">
      <c r="A101" s="118"/>
      <c r="B101" s="468"/>
      <c r="C101" s="24" t="s">
        <v>500</v>
      </c>
      <c r="D101" s="26" t="s">
        <v>4</v>
      </c>
      <c r="E101" s="26"/>
      <c r="F101" s="26"/>
      <c r="G101" s="26"/>
      <c r="H101" s="26"/>
      <c r="I101" s="26"/>
      <c r="J101" s="26"/>
      <c r="K101" s="26"/>
      <c r="L101" s="27" t="s">
        <v>4</v>
      </c>
      <c r="M101" s="12" t="s">
        <v>4</v>
      </c>
      <c r="N101" s="16" t="s">
        <v>4</v>
      </c>
      <c r="O101" s="122"/>
    </row>
    <row r="102" spans="1:15" ht="12.95" customHeight="1">
      <c r="A102" s="118"/>
      <c r="B102" s="468"/>
      <c r="C102" s="14" t="s">
        <v>4</v>
      </c>
      <c r="D102" s="126" t="s">
        <v>501</v>
      </c>
      <c r="E102" s="127"/>
      <c r="F102" s="127"/>
      <c r="G102" s="127"/>
      <c r="H102" s="127"/>
      <c r="I102" s="127"/>
      <c r="J102" s="127"/>
      <c r="K102" s="127"/>
      <c r="L102" s="127"/>
      <c r="M102" s="127"/>
      <c r="N102" s="127"/>
      <c r="O102" s="122"/>
    </row>
    <row r="103" spans="1:15" ht="12.95" customHeight="1">
      <c r="A103" s="118"/>
      <c r="B103" s="469"/>
      <c r="C103" s="16" t="s">
        <v>4</v>
      </c>
      <c r="D103" s="124" t="s">
        <v>197</v>
      </c>
      <c r="E103" s="125"/>
      <c r="F103" s="125"/>
      <c r="G103" s="125"/>
      <c r="H103" s="125"/>
      <c r="I103" s="125"/>
      <c r="J103" s="125"/>
      <c r="K103" s="125"/>
      <c r="L103" s="125"/>
      <c r="M103" s="125"/>
      <c r="N103" s="125"/>
      <c r="O103" s="122"/>
    </row>
    <row r="104" spans="1:15" ht="12.95" customHeight="1">
      <c r="A104" s="118"/>
      <c r="B104" s="48" t="s">
        <v>556</v>
      </c>
      <c r="C104" s="9" t="s">
        <v>4</v>
      </c>
      <c r="D104" s="10" t="s">
        <v>495</v>
      </c>
      <c r="E104" s="21" t="s">
        <v>633</v>
      </c>
      <c r="F104" s="21" t="s">
        <v>634</v>
      </c>
      <c r="G104" s="21" t="s">
        <v>635</v>
      </c>
      <c r="H104" s="21" t="s">
        <v>636</v>
      </c>
      <c r="I104" s="21" t="s">
        <v>637</v>
      </c>
      <c r="J104" s="21" t="s">
        <v>638</v>
      </c>
      <c r="K104" s="21" t="s">
        <v>639</v>
      </c>
      <c r="L104" s="21" t="s">
        <v>105</v>
      </c>
      <c r="M104" s="21" t="s">
        <v>106</v>
      </c>
      <c r="N104" s="21" t="s">
        <v>645</v>
      </c>
      <c r="O104" s="89" t="s">
        <v>496</v>
      </c>
    </row>
    <row r="105" spans="1:15" ht="20.25" customHeight="1">
      <c r="A105" s="118"/>
      <c r="B105" s="350" t="s">
        <v>557</v>
      </c>
      <c r="C105" s="25" t="s">
        <v>498</v>
      </c>
      <c r="D105" s="83"/>
      <c r="E105" s="82"/>
      <c r="F105" s="82"/>
      <c r="G105" s="82"/>
      <c r="H105" s="82"/>
      <c r="I105" s="82"/>
      <c r="J105" s="82"/>
      <c r="K105" s="82"/>
      <c r="L105" s="12" t="s">
        <v>4</v>
      </c>
      <c r="M105" s="12" t="s">
        <v>4</v>
      </c>
      <c r="N105" s="16" t="s">
        <v>4</v>
      </c>
      <c r="O105" s="122"/>
    </row>
    <row r="106" spans="1:15" ht="12.95" customHeight="1">
      <c r="A106" s="118"/>
      <c r="B106" s="351"/>
      <c r="C106" s="24" t="s">
        <v>500</v>
      </c>
      <c r="D106" s="26" t="s">
        <v>4</v>
      </c>
      <c r="E106" s="26"/>
      <c r="F106" s="26"/>
      <c r="G106" s="26"/>
      <c r="H106" s="26"/>
      <c r="I106" s="26"/>
      <c r="J106" s="26"/>
      <c r="K106" s="26"/>
      <c r="L106" s="27" t="s">
        <v>4</v>
      </c>
      <c r="M106" s="12" t="s">
        <v>4</v>
      </c>
      <c r="N106" s="16" t="s">
        <v>4</v>
      </c>
      <c r="O106" s="122"/>
    </row>
    <row r="107" spans="1:15" ht="12.95" customHeight="1">
      <c r="A107" s="118"/>
      <c r="B107" s="351"/>
      <c r="C107" s="14" t="s">
        <v>4</v>
      </c>
      <c r="D107" s="126" t="s">
        <v>501</v>
      </c>
      <c r="E107" s="127"/>
      <c r="F107" s="127"/>
      <c r="G107" s="127"/>
      <c r="H107" s="127"/>
      <c r="I107" s="127"/>
      <c r="J107" s="127"/>
      <c r="K107" s="127"/>
      <c r="L107" s="127"/>
      <c r="M107" s="127"/>
      <c r="N107" s="127"/>
      <c r="O107" s="122"/>
    </row>
    <row r="108" spans="1:15" ht="12.95" customHeight="1">
      <c r="A108" s="118"/>
      <c r="B108" s="352"/>
      <c r="C108" s="16" t="s">
        <v>4</v>
      </c>
      <c r="D108" s="124" t="s">
        <v>184</v>
      </c>
      <c r="E108" s="125"/>
      <c r="F108" s="125"/>
      <c r="G108" s="125"/>
      <c r="H108" s="125"/>
      <c r="I108" s="125"/>
      <c r="J108" s="125"/>
      <c r="K108" s="125"/>
      <c r="L108" s="125"/>
      <c r="M108" s="125"/>
      <c r="N108" s="125"/>
      <c r="O108" s="122"/>
    </row>
    <row r="109" spans="1:15" ht="12.95" customHeight="1">
      <c r="A109" s="118"/>
      <c r="B109" s="9" t="s">
        <v>558</v>
      </c>
      <c r="C109" s="9" t="s">
        <v>4</v>
      </c>
      <c r="D109" s="10" t="s">
        <v>495</v>
      </c>
      <c r="E109" s="21" t="s">
        <v>633</v>
      </c>
      <c r="F109" s="21" t="s">
        <v>634</v>
      </c>
      <c r="G109" s="21" t="s">
        <v>635</v>
      </c>
      <c r="H109" s="21" t="s">
        <v>636</v>
      </c>
      <c r="I109" s="21" t="s">
        <v>637</v>
      </c>
      <c r="J109" s="21" t="s">
        <v>638</v>
      </c>
      <c r="K109" s="21" t="s">
        <v>639</v>
      </c>
      <c r="L109" s="21" t="s">
        <v>105</v>
      </c>
      <c r="M109" s="21" t="s">
        <v>106</v>
      </c>
      <c r="N109" s="21" t="s">
        <v>645</v>
      </c>
      <c r="O109" s="89" t="s">
        <v>496</v>
      </c>
    </row>
    <row r="110" spans="1:15" ht="21" customHeight="1">
      <c r="A110" s="118"/>
      <c r="B110" s="350" t="s">
        <v>262</v>
      </c>
      <c r="C110" s="25" t="s">
        <v>498</v>
      </c>
      <c r="D110" s="83"/>
      <c r="E110" s="82"/>
      <c r="F110" s="82"/>
      <c r="G110" s="82"/>
      <c r="H110" s="82"/>
      <c r="I110" s="82"/>
      <c r="J110" s="82"/>
      <c r="K110" s="82"/>
      <c r="L110" s="12" t="s">
        <v>4</v>
      </c>
      <c r="M110" s="12" t="s">
        <v>4</v>
      </c>
      <c r="N110" s="16" t="s">
        <v>4</v>
      </c>
      <c r="O110" s="122"/>
    </row>
    <row r="111" spans="1:15" ht="12.75" customHeight="1">
      <c r="A111" s="118"/>
      <c r="B111" s="351"/>
      <c r="C111" s="24" t="s">
        <v>500</v>
      </c>
      <c r="D111" s="26" t="s">
        <v>4</v>
      </c>
      <c r="E111" s="26"/>
      <c r="F111" s="26"/>
      <c r="G111" s="26"/>
      <c r="H111" s="26"/>
      <c r="I111" s="26"/>
      <c r="J111" s="26"/>
      <c r="K111" s="26"/>
      <c r="L111" s="27" t="s">
        <v>4</v>
      </c>
      <c r="M111" s="12" t="s">
        <v>4</v>
      </c>
      <c r="N111" s="16" t="s">
        <v>4</v>
      </c>
      <c r="O111" s="122"/>
    </row>
    <row r="112" spans="1:15" ht="12.75" customHeight="1">
      <c r="A112" s="118"/>
      <c r="B112" s="351"/>
      <c r="C112" s="14" t="s">
        <v>4</v>
      </c>
      <c r="D112" s="126" t="s">
        <v>501</v>
      </c>
      <c r="E112" s="127"/>
      <c r="F112" s="127"/>
      <c r="G112" s="127"/>
      <c r="H112" s="127"/>
      <c r="I112" s="127"/>
      <c r="J112" s="127"/>
      <c r="K112" s="127"/>
      <c r="L112" s="127"/>
      <c r="M112" s="127"/>
      <c r="N112" s="127"/>
      <c r="O112" s="122"/>
    </row>
    <row r="113" spans="1:15" ht="12.75" customHeight="1">
      <c r="A113" s="119"/>
      <c r="B113" s="352"/>
      <c r="C113" s="16" t="s">
        <v>4</v>
      </c>
      <c r="D113" s="124" t="s">
        <v>184</v>
      </c>
      <c r="E113" s="125"/>
      <c r="F113" s="125"/>
      <c r="G113" s="125"/>
      <c r="H113" s="125"/>
      <c r="I113" s="125"/>
      <c r="J113" s="125"/>
      <c r="K113" s="125"/>
      <c r="L113" s="125"/>
      <c r="M113" s="125"/>
      <c r="N113" s="125"/>
      <c r="O113" s="122"/>
    </row>
    <row r="114" spans="1:15" ht="12.6">
      <c r="B114" s="9"/>
      <c r="C114" s="9" t="s">
        <v>4</v>
      </c>
      <c r="D114" s="10"/>
      <c r="E114" s="10"/>
      <c r="F114" s="10"/>
      <c r="G114" s="10"/>
      <c r="H114" s="10"/>
      <c r="I114" s="10"/>
      <c r="J114" s="10"/>
      <c r="K114" s="10"/>
      <c r="L114" s="10"/>
      <c r="M114" s="10"/>
      <c r="N114" s="88"/>
      <c r="O114" s="122"/>
    </row>
    <row r="115" spans="1:15" ht="12.6">
      <c r="A115" s="8" t="s">
        <v>625</v>
      </c>
      <c r="B115" s="15"/>
      <c r="C115" s="16"/>
      <c r="D115" s="16"/>
      <c r="E115" s="16"/>
      <c r="F115" s="16"/>
      <c r="G115" s="16"/>
      <c r="H115" s="16"/>
      <c r="I115" s="16"/>
      <c r="J115" s="16"/>
      <c r="K115" s="16"/>
      <c r="L115" s="16"/>
      <c r="M115" s="16"/>
      <c r="N115" s="17"/>
      <c r="O115" s="14"/>
    </row>
    <row r="116" spans="1:15" ht="12.6">
      <c r="A116" s="356" t="s">
        <v>527</v>
      </c>
      <c r="B116" s="22" t="s">
        <v>528</v>
      </c>
      <c r="C116" s="22" t="s">
        <v>4</v>
      </c>
      <c r="D116" s="22" t="s">
        <v>529</v>
      </c>
      <c r="E116" s="22"/>
      <c r="F116" s="22"/>
      <c r="G116" s="22"/>
      <c r="H116" s="22"/>
      <c r="I116" s="22"/>
      <c r="J116" s="22"/>
      <c r="K116" s="22"/>
      <c r="L116" s="22" t="s">
        <v>641</v>
      </c>
      <c r="M116" s="22" t="s">
        <v>642</v>
      </c>
      <c r="N116" s="470" t="s">
        <v>643</v>
      </c>
      <c r="O116" s="471"/>
    </row>
    <row r="117" spans="1:15" ht="12.6">
      <c r="A117" s="357"/>
      <c r="B117" s="11" t="s">
        <v>4</v>
      </c>
      <c r="C117" s="11" t="s">
        <v>4</v>
      </c>
      <c r="D117" s="11" t="s">
        <v>4</v>
      </c>
      <c r="E117" s="11"/>
      <c r="F117" s="11"/>
      <c r="G117" s="11"/>
      <c r="H117" s="11"/>
      <c r="I117" s="11"/>
      <c r="J117" s="11"/>
      <c r="K117" s="11"/>
      <c r="L117" s="11" t="s">
        <v>4</v>
      </c>
      <c r="M117" s="11" t="s">
        <v>4</v>
      </c>
      <c r="N117" s="334" t="s">
        <v>4</v>
      </c>
      <c r="O117" s="335"/>
    </row>
    <row r="118" spans="1:15" ht="12.6">
      <c r="A118" s="356" t="s">
        <v>530</v>
      </c>
      <c r="B118" s="22" t="s">
        <v>531</v>
      </c>
      <c r="C118" s="22" t="s">
        <v>4</v>
      </c>
      <c r="D118" s="358" t="s">
        <v>4</v>
      </c>
      <c r="E118" s="359"/>
      <c r="F118" s="359"/>
      <c r="G118" s="359"/>
      <c r="H118" s="359"/>
      <c r="I118" s="359"/>
      <c r="J118" s="359"/>
      <c r="K118" s="359"/>
      <c r="L118" s="359"/>
      <c r="M118" s="359"/>
      <c r="N118" s="359"/>
      <c r="O118" s="360"/>
    </row>
    <row r="119" spans="1:15" ht="12.6">
      <c r="A119" s="357"/>
      <c r="B119" s="11" t="s">
        <v>4</v>
      </c>
      <c r="C119" s="23" t="s">
        <v>4</v>
      </c>
      <c r="D119" s="361"/>
      <c r="E119" s="362"/>
      <c r="F119" s="362"/>
      <c r="G119" s="362"/>
      <c r="H119" s="362"/>
      <c r="I119" s="362"/>
      <c r="J119" s="362"/>
      <c r="K119" s="362"/>
      <c r="L119" s="362"/>
      <c r="M119" s="362"/>
      <c r="N119" s="362"/>
      <c r="O119" s="363"/>
    </row>
    <row r="120" spans="1:15" ht="12.6">
      <c r="A120" s="18"/>
      <c r="B120" s="18"/>
      <c r="C120" s="18"/>
      <c r="D120" s="18" t="s">
        <v>4</v>
      </c>
      <c r="E120" s="18"/>
      <c r="F120" s="18"/>
      <c r="G120" s="18"/>
      <c r="H120" s="18"/>
      <c r="I120" s="18"/>
      <c r="J120" s="18"/>
      <c r="K120" s="18"/>
      <c r="L120" s="18" t="s">
        <v>4</v>
      </c>
      <c r="M120" s="18" t="s">
        <v>4</v>
      </c>
      <c r="N120" s="18" t="s">
        <v>4</v>
      </c>
      <c r="O120" s="18" t="s">
        <v>4</v>
      </c>
    </row>
    <row r="121" spans="1:15" ht="12.6">
      <c r="A121" s="19" t="s">
        <v>560</v>
      </c>
      <c r="B121" s="20" t="s">
        <v>561</v>
      </c>
      <c r="C121" s="20" t="s">
        <v>4</v>
      </c>
      <c r="D121" s="21" t="s">
        <v>495</v>
      </c>
      <c r="E121" s="21" t="s">
        <v>633</v>
      </c>
      <c r="F121" s="21" t="s">
        <v>634</v>
      </c>
      <c r="G121" s="21" t="s">
        <v>635</v>
      </c>
      <c r="H121" s="21" t="s">
        <v>636</v>
      </c>
      <c r="I121" s="21" t="s">
        <v>637</v>
      </c>
      <c r="J121" s="21" t="s">
        <v>638</v>
      </c>
      <c r="K121" s="21" t="s">
        <v>639</v>
      </c>
      <c r="L121" s="21" t="s">
        <v>105</v>
      </c>
      <c r="M121" s="21" t="s">
        <v>106</v>
      </c>
      <c r="N121" s="21" t="s">
        <v>645</v>
      </c>
      <c r="O121" s="89" t="s">
        <v>496</v>
      </c>
    </row>
    <row r="122" spans="1:15" ht="29.45" customHeight="1">
      <c r="A122" s="371" t="s">
        <v>562</v>
      </c>
      <c r="B122" s="379" t="s">
        <v>563</v>
      </c>
      <c r="C122" s="25" t="s">
        <v>498</v>
      </c>
      <c r="D122" s="132">
        <v>272562</v>
      </c>
      <c r="E122" s="132">
        <v>299818</v>
      </c>
      <c r="F122" s="132">
        <v>43894</v>
      </c>
      <c r="G122" s="132">
        <v>127930</v>
      </c>
      <c r="H122" s="132">
        <v>57081</v>
      </c>
      <c r="I122" s="132">
        <v>59634</v>
      </c>
      <c r="J122" s="132">
        <v>53325</v>
      </c>
      <c r="K122" s="132">
        <v>93518</v>
      </c>
      <c r="L122" s="132" t="s">
        <v>4</v>
      </c>
      <c r="M122" s="132" t="s">
        <v>4</v>
      </c>
      <c r="N122" s="132" t="s">
        <v>4</v>
      </c>
      <c r="O122" s="132"/>
    </row>
    <row r="123" spans="1:15" ht="12.95" customHeight="1">
      <c r="A123" s="372"/>
      <c r="B123" s="380"/>
      <c r="C123" s="24" t="s">
        <v>500</v>
      </c>
      <c r="D123" s="26" t="s">
        <v>4</v>
      </c>
      <c r="E123" s="26"/>
      <c r="F123" s="26"/>
      <c r="G123" s="26"/>
      <c r="H123" s="26"/>
      <c r="I123" s="26"/>
      <c r="J123" s="26"/>
      <c r="K123" s="26"/>
      <c r="L123" s="27" t="s">
        <v>4</v>
      </c>
      <c r="M123" s="12" t="s">
        <v>4</v>
      </c>
      <c r="N123" s="16" t="s">
        <v>4</v>
      </c>
      <c r="O123" s="122"/>
    </row>
    <row r="124" spans="1:15" ht="12.95" customHeight="1">
      <c r="A124" s="372"/>
      <c r="B124" s="380"/>
      <c r="C124" s="14" t="s">
        <v>4</v>
      </c>
      <c r="D124" s="126" t="s">
        <v>501</v>
      </c>
      <c r="E124" s="127"/>
      <c r="F124" s="127"/>
      <c r="G124" s="127"/>
      <c r="H124" s="127"/>
      <c r="I124" s="127"/>
      <c r="J124" s="127"/>
      <c r="K124" s="127"/>
      <c r="L124" s="127"/>
      <c r="M124" s="127"/>
      <c r="N124" s="127"/>
      <c r="O124" s="122"/>
    </row>
    <row r="125" spans="1:15" ht="12.95" customHeight="1">
      <c r="A125" s="372"/>
      <c r="B125" s="381"/>
      <c r="C125" s="16" t="s">
        <v>4</v>
      </c>
      <c r="D125" s="124" t="s">
        <v>184</v>
      </c>
      <c r="E125" s="125"/>
      <c r="F125" s="125"/>
      <c r="G125" s="125"/>
      <c r="H125" s="125"/>
      <c r="I125" s="125"/>
      <c r="J125" s="125"/>
      <c r="K125" s="125"/>
      <c r="L125" s="125"/>
      <c r="M125" s="125"/>
      <c r="N125" s="125"/>
      <c r="O125" s="122"/>
    </row>
    <row r="126" spans="1:15" ht="12.95" customHeight="1">
      <c r="A126" s="372"/>
      <c r="B126" s="48" t="s">
        <v>564</v>
      </c>
      <c r="C126" s="9" t="s">
        <v>4</v>
      </c>
      <c r="D126" s="10" t="s">
        <v>495</v>
      </c>
      <c r="E126" s="21" t="s">
        <v>633</v>
      </c>
      <c r="F126" s="21" t="s">
        <v>634</v>
      </c>
      <c r="G126" s="21" t="s">
        <v>635</v>
      </c>
      <c r="H126" s="21" t="s">
        <v>636</v>
      </c>
      <c r="I126" s="21" t="s">
        <v>637</v>
      </c>
      <c r="J126" s="21" t="s">
        <v>638</v>
      </c>
      <c r="K126" s="21" t="s">
        <v>639</v>
      </c>
      <c r="L126" s="21" t="s">
        <v>105</v>
      </c>
      <c r="M126" s="21" t="s">
        <v>106</v>
      </c>
      <c r="N126" s="21" t="s">
        <v>645</v>
      </c>
      <c r="O126" s="89" t="s">
        <v>496</v>
      </c>
    </row>
    <row r="127" spans="1:15" ht="23.45" customHeight="1">
      <c r="A127" s="372"/>
      <c r="B127" s="350" t="s">
        <v>565</v>
      </c>
      <c r="C127" s="25" t="s">
        <v>498</v>
      </c>
      <c r="D127" s="82">
        <v>0</v>
      </c>
      <c r="E127" s="82">
        <v>0.8</v>
      </c>
      <c r="F127" s="82">
        <v>0.8</v>
      </c>
      <c r="G127" s="82">
        <v>0.8</v>
      </c>
      <c r="H127" s="82">
        <v>0.8</v>
      </c>
      <c r="I127" s="82">
        <v>0.8</v>
      </c>
      <c r="J127" s="82">
        <v>0.8</v>
      </c>
      <c r="K127" s="82">
        <v>0.8</v>
      </c>
      <c r="L127" s="132" t="s">
        <v>4</v>
      </c>
      <c r="M127" s="132" t="s">
        <v>4</v>
      </c>
      <c r="N127" s="132" t="s">
        <v>4</v>
      </c>
      <c r="O127" s="132"/>
    </row>
    <row r="128" spans="1:15" ht="12.95" customHeight="1">
      <c r="A128" s="372"/>
      <c r="B128" s="351"/>
      <c r="C128" s="24" t="s">
        <v>500</v>
      </c>
      <c r="D128" s="26" t="s">
        <v>4</v>
      </c>
      <c r="E128" s="26"/>
      <c r="F128" s="26"/>
      <c r="G128" s="26"/>
      <c r="H128" s="26"/>
      <c r="I128" s="26"/>
      <c r="J128" s="26"/>
      <c r="K128" s="26"/>
      <c r="L128" s="27" t="s">
        <v>4</v>
      </c>
      <c r="M128" s="12" t="s">
        <v>4</v>
      </c>
      <c r="N128" s="16" t="s">
        <v>4</v>
      </c>
      <c r="O128" s="122"/>
    </row>
    <row r="129" spans="1:15" ht="12.95" customHeight="1">
      <c r="A129" s="372"/>
      <c r="B129" s="351"/>
      <c r="C129" s="14" t="s">
        <v>4</v>
      </c>
      <c r="D129" s="126" t="s">
        <v>501</v>
      </c>
      <c r="E129" s="127"/>
      <c r="F129" s="127"/>
      <c r="G129" s="127"/>
      <c r="H129" s="127"/>
      <c r="I129" s="127"/>
      <c r="J129" s="127"/>
      <c r="K129" s="127"/>
      <c r="L129" s="127"/>
      <c r="M129" s="127"/>
      <c r="N129" s="127"/>
      <c r="O129" s="122"/>
    </row>
    <row r="130" spans="1:15" ht="12.95" customHeight="1">
      <c r="A130" s="372"/>
      <c r="B130" s="352"/>
      <c r="C130" s="16" t="s">
        <v>4</v>
      </c>
      <c r="D130" s="124" t="s">
        <v>566</v>
      </c>
      <c r="E130" s="125"/>
      <c r="F130" s="125"/>
      <c r="G130" s="125"/>
      <c r="H130" s="125"/>
      <c r="I130" s="125"/>
      <c r="J130" s="125"/>
      <c r="K130" s="125"/>
      <c r="L130" s="125"/>
      <c r="M130" s="125"/>
      <c r="N130" s="125"/>
      <c r="O130" s="122"/>
    </row>
    <row r="131" spans="1:15" ht="12.95" customHeight="1">
      <c r="A131" s="372"/>
      <c r="B131" s="91" t="s">
        <v>626</v>
      </c>
      <c r="C131" s="9" t="s">
        <v>4</v>
      </c>
      <c r="D131" s="10" t="s">
        <v>495</v>
      </c>
      <c r="E131" s="21" t="s">
        <v>633</v>
      </c>
      <c r="F131" s="21" t="s">
        <v>634</v>
      </c>
      <c r="G131" s="21" t="s">
        <v>635</v>
      </c>
      <c r="H131" s="21" t="s">
        <v>636</v>
      </c>
      <c r="I131" s="21" t="s">
        <v>637</v>
      </c>
      <c r="J131" s="21" t="s">
        <v>638</v>
      </c>
      <c r="K131" s="21" t="s">
        <v>639</v>
      </c>
      <c r="L131" s="21" t="s">
        <v>105</v>
      </c>
      <c r="M131" s="21" t="s">
        <v>106</v>
      </c>
      <c r="N131" s="21" t="s">
        <v>645</v>
      </c>
      <c r="O131" s="89" t="s">
        <v>496</v>
      </c>
    </row>
    <row r="132" spans="1:15" ht="23.45" customHeight="1">
      <c r="A132" s="372"/>
      <c r="B132" s="374" t="s">
        <v>274</v>
      </c>
      <c r="C132" s="25" t="s">
        <v>498</v>
      </c>
      <c r="D132" s="90"/>
      <c r="E132" s="90"/>
      <c r="F132" s="90"/>
      <c r="G132" s="90"/>
      <c r="H132" s="90"/>
      <c r="I132" s="90"/>
      <c r="J132" s="90"/>
      <c r="K132" s="90"/>
      <c r="L132" s="12" t="s">
        <v>4</v>
      </c>
      <c r="M132" s="12" t="s">
        <v>4</v>
      </c>
      <c r="N132" s="16" t="s">
        <v>4</v>
      </c>
      <c r="O132" s="122"/>
    </row>
    <row r="133" spans="1:15" ht="12.95" customHeight="1">
      <c r="A133" s="372"/>
      <c r="B133" s="375"/>
      <c r="C133" s="24" t="s">
        <v>500</v>
      </c>
      <c r="D133" s="26" t="s">
        <v>4</v>
      </c>
      <c r="E133" s="26"/>
      <c r="F133" s="26"/>
      <c r="G133" s="26"/>
      <c r="H133" s="26"/>
      <c r="I133" s="26"/>
      <c r="J133" s="26"/>
      <c r="K133" s="26"/>
      <c r="L133" s="27" t="s">
        <v>4</v>
      </c>
      <c r="M133" s="12" t="s">
        <v>4</v>
      </c>
      <c r="N133" s="16" t="s">
        <v>4</v>
      </c>
      <c r="O133" s="122"/>
    </row>
    <row r="134" spans="1:15" ht="12.95" customHeight="1">
      <c r="A134" s="372"/>
      <c r="B134" s="375"/>
      <c r="C134" s="14" t="s">
        <v>4</v>
      </c>
      <c r="D134" s="126" t="s">
        <v>501</v>
      </c>
      <c r="E134" s="127"/>
      <c r="F134" s="127"/>
      <c r="G134" s="127"/>
      <c r="H134" s="127"/>
      <c r="I134" s="127"/>
      <c r="J134" s="127"/>
      <c r="K134" s="127"/>
      <c r="L134" s="127"/>
      <c r="M134" s="127"/>
      <c r="N134" s="127"/>
      <c r="O134" s="122"/>
    </row>
    <row r="135" spans="1:15" ht="12.95" customHeight="1">
      <c r="A135" s="373"/>
      <c r="B135" s="376"/>
      <c r="C135" s="16" t="s">
        <v>4</v>
      </c>
      <c r="D135" s="124" t="s">
        <v>236</v>
      </c>
      <c r="E135" s="125"/>
      <c r="F135" s="125"/>
      <c r="G135" s="125"/>
      <c r="H135" s="125"/>
      <c r="I135" s="125"/>
      <c r="J135" s="125"/>
      <c r="K135" s="125"/>
      <c r="L135" s="125"/>
      <c r="M135" s="125"/>
      <c r="N135" s="125"/>
      <c r="O135" s="123"/>
    </row>
    <row r="136" spans="1:15" ht="12.6">
      <c r="A136" s="19" t="s">
        <v>625</v>
      </c>
      <c r="B136" s="15"/>
      <c r="C136" s="16"/>
      <c r="D136" s="16"/>
      <c r="E136" s="16"/>
      <c r="F136" s="16"/>
      <c r="G136" s="16"/>
      <c r="H136" s="16"/>
      <c r="I136" s="16"/>
      <c r="J136" s="16"/>
      <c r="K136" s="16"/>
      <c r="L136" s="16"/>
      <c r="M136" s="16"/>
      <c r="N136" s="17"/>
      <c r="O136" s="14"/>
    </row>
    <row r="137" spans="1:15" ht="12.6">
      <c r="A137" s="356" t="s">
        <v>527</v>
      </c>
      <c r="B137" s="22" t="s">
        <v>528</v>
      </c>
      <c r="C137" s="22" t="s">
        <v>4</v>
      </c>
      <c r="D137" s="22" t="s">
        <v>529</v>
      </c>
      <c r="E137" s="22"/>
      <c r="F137" s="22"/>
      <c r="G137" s="22"/>
      <c r="H137" s="22"/>
      <c r="I137" s="22"/>
      <c r="J137" s="22"/>
      <c r="K137" s="22"/>
      <c r="L137" s="22" t="s">
        <v>641</v>
      </c>
      <c r="M137" s="22" t="s">
        <v>642</v>
      </c>
      <c r="N137" s="470" t="s">
        <v>643</v>
      </c>
      <c r="O137" s="471"/>
    </row>
    <row r="138" spans="1:15" ht="12.6">
      <c r="A138" s="357"/>
      <c r="B138" s="11" t="s">
        <v>4</v>
      </c>
      <c r="C138" s="11" t="s">
        <v>4</v>
      </c>
      <c r="D138" s="11" t="s">
        <v>4</v>
      </c>
      <c r="E138" s="11"/>
      <c r="F138" s="11"/>
      <c r="G138" s="11"/>
      <c r="H138" s="11"/>
      <c r="I138" s="11"/>
      <c r="J138" s="11"/>
      <c r="K138" s="11"/>
      <c r="L138" s="11" t="s">
        <v>4</v>
      </c>
      <c r="M138" s="11" t="s">
        <v>4</v>
      </c>
      <c r="N138" s="334" t="s">
        <v>4</v>
      </c>
      <c r="O138" s="335"/>
    </row>
    <row r="139" spans="1:15" ht="12.6">
      <c r="A139" s="356" t="s">
        <v>530</v>
      </c>
      <c r="B139" s="22" t="s">
        <v>531</v>
      </c>
      <c r="C139" s="22" t="s">
        <v>4</v>
      </c>
      <c r="D139" s="358" t="s">
        <v>4</v>
      </c>
      <c r="E139" s="359"/>
      <c r="F139" s="359"/>
      <c r="G139" s="359"/>
      <c r="H139" s="359"/>
      <c r="I139" s="359"/>
      <c r="J139" s="359"/>
      <c r="K139" s="359"/>
      <c r="L139" s="359"/>
      <c r="M139" s="359"/>
      <c r="N139" s="359"/>
      <c r="O139" s="360"/>
    </row>
    <row r="140" spans="1:15" ht="12.6">
      <c r="A140" s="357"/>
      <c r="B140" s="11" t="s">
        <v>4</v>
      </c>
      <c r="C140" s="23" t="s">
        <v>4</v>
      </c>
      <c r="D140" s="361"/>
      <c r="E140" s="362"/>
      <c r="F140" s="362"/>
      <c r="G140" s="362"/>
      <c r="H140" s="362"/>
      <c r="I140" s="362"/>
      <c r="J140" s="362"/>
      <c r="K140" s="362"/>
      <c r="L140" s="362"/>
      <c r="M140" s="362"/>
      <c r="N140" s="362"/>
      <c r="O140" s="363"/>
    </row>
    <row r="141" spans="1:15" ht="12.6"/>
    <row r="142" spans="1:15" ht="12.6">
      <c r="A142" s="19" t="s">
        <v>568</v>
      </c>
      <c r="B142" s="20" t="s">
        <v>569</v>
      </c>
      <c r="C142" s="20" t="s">
        <v>4</v>
      </c>
      <c r="D142" s="21" t="s">
        <v>495</v>
      </c>
      <c r="E142" s="21" t="s">
        <v>633</v>
      </c>
      <c r="F142" s="21" t="s">
        <v>634</v>
      </c>
      <c r="G142" s="21" t="s">
        <v>635</v>
      </c>
      <c r="H142" s="21" t="s">
        <v>636</v>
      </c>
      <c r="I142" s="21" t="s">
        <v>637</v>
      </c>
      <c r="J142" s="21" t="s">
        <v>638</v>
      </c>
      <c r="K142" s="21" t="s">
        <v>639</v>
      </c>
      <c r="L142" s="21" t="s">
        <v>105</v>
      </c>
      <c r="M142" s="21" t="s">
        <v>106</v>
      </c>
      <c r="N142" s="21" t="s">
        <v>645</v>
      </c>
      <c r="O142" s="89" t="s">
        <v>496</v>
      </c>
    </row>
    <row r="143" spans="1:15" ht="22.5" customHeight="1">
      <c r="A143" s="371" t="s">
        <v>570</v>
      </c>
      <c r="B143" s="379" t="s">
        <v>571</v>
      </c>
      <c r="C143" s="25" t="s">
        <v>498</v>
      </c>
      <c r="D143" s="92">
        <v>209.75700000000001</v>
      </c>
      <c r="E143" s="92"/>
      <c r="F143" s="92"/>
      <c r="G143" s="92"/>
      <c r="H143" s="92"/>
      <c r="I143" s="92"/>
      <c r="J143" s="92"/>
      <c r="K143" s="92"/>
      <c r="L143" s="12" t="s">
        <v>4</v>
      </c>
      <c r="M143" s="12" t="s">
        <v>4</v>
      </c>
      <c r="N143" s="16" t="s">
        <v>4</v>
      </c>
      <c r="O143" s="121" t="s">
        <v>4</v>
      </c>
    </row>
    <row r="144" spans="1:15" ht="12.95" customHeight="1">
      <c r="A144" s="372"/>
      <c r="B144" s="380"/>
      <c r="C144" s="24" t="s">
        <v>500</v>
      </c>
      <c r="D144" s="26" t="s">
        <v>4</v>
      </c>
      <c r="E144" s="26"/>
      <c r="F144" s="26"/>
      <c r="G144" s="26"/>
      <c r="H144" s="26"/>
      <c r="I144" s="26"/>
      <c r="J144" s="26"/>
      <c r="K144" s="26"/>
      <c r="L144" s="27" t="s">
        <v>4</v>
      </c>
      <c r="M144" s="12" t="s">
        <v>4</v>
      </c>
      <c r="N144" s="16" t="s">
        <v>4</v>
      </c>
      <c r="O144" s="122"/>
    </row>
    <row r="145" spans="1:15" ht="12.95" customHeight="1">
      <c r="A145" s="372"/>
      <c r="B145" s="380"/>
      <c r="C145" s="14" t="s">
        <v>4</v>
      </c>
      <c r="D145" s="126" t="s">
        <v>501</v>
      </c>
      <c r="E145" s="127"/>
      <c r="F145" s="127"/>
      <c r="G145" s="127"/>
      <c r="H145" s="127"/>
      <c r="I145" s="127"/>
      <c r="J145" s="127"/>
      <c r="K145" s="127"/>
      <c r="L145" s="127"/>
      <c r="M145" s="127"/>
      <c r="N145" s="127"/>
      <c r="O145" s="122"/>
    </row>
    <row r="146" spans="1:15" ht="12.95" customHeight="1">
      <c r="A146" s="372"/>
      <c r="B146" s="381"/>
      <c r="C146" s="16" t="s">
        <v>4</v>
      </c>
      <c r="D146" s="124" t="s">
        <v>197</v>
      </c>
      <c r="E146" s="125"/>
      <c r="F146" s="125"/>
      <c r="G146" s="125"/>
      <c r="H146" s="125"/>
      <c r="I146" s="125"/>
      <c r="J146" s="125"/>
      <c r="K146" s="125"/>
      <c r="L146" s="125"/>
      <c r="M146" s="125"/>
      <c r="N146" s="125"/>
      <c r="O146" s="122"/>
    </row>
    <row r="147" spans="1:15" ht="12.95" customHeight="1">
      <c r="A147" s="372"/>
      <c r="B147" s="91" t="s">
        <v>573</v>
      </c>
      <c r="C147" s="9" t="s">
        <v>4</v>
      </c>
      <c r="D147" s="10" t="s">
        <v>495</v>
      </c>
      <c r="E147" s="21" t="s">
        <v>633</v>
      </c>
      <c r="F147" s="21" t="s">
        <v>634</v>
      </c>
      <c r="G147" s="21" t="s">
        <v>635</v>
      </c>
      <c r="H147" s="21" t="s">
        <v>636</v>
      </c>
      <c r="I147" s="21" t="s">
        <v>637</v>
      </c>
      <c r="J147" s="21" t="s">
        <v>638</v>
      </c>
      <c r="K147" s="21" t="s">
        <v>639</v>
      </c>
      <c r="L147" s="21" t="s">
        <v>105</v>
      </c>
      <c r="M147" s="21" t="s">
        <v>106</v>
      </c>
      <c r="N147" s="21" t="s">
        <v>645</v>
      </c>
      <c r="O147" s="89" t="s">
        <v>496</v>
      </c>
    </row>
    <row r="148" spans="1:15" ht="21" customHeight="1">
      <c r="A148" s="372"/>
      <c r="B148" s="374" t="s">
        <v>574</v>
      </c>
      <c r="C148" s="25" t="s">
        <v>498</v>
      </c>
      <c r="D148" s="94">
        <v>0</v>
      </c>
      <c r="E148" s="94"/>
      <c r="F148" s="94"/>
      <c r="G148" s="94"/>
      <c r="H148" s="94"/>
      <c r="I148" s="94"/>
      <c r="J148" s="94"/>
      <c r="K148" s="94"/>
      <c r="L148" s="12" t="s">
        <v>4</v>
      </c>
      <c r="M148" s="12" t="s">
        <v>4</v>
      </c>
      <c r="N148" s="16" t="s">
        <v>4</v>
      </c>
      <c r="O148" s="122"/>
    </row>
    <row r="149" spans="1:15" ht="12.95" customHeight="1">
      <c r="A149" s="372"/>
      <c r="B149" s="375"/>
      <c r="C149" s="24" t="s">
        <v>500</v>
      </c>
      <c r="D149" s="26" t="s">
        <v>4</v>
      </c>
      <c r="E149" s="26"/>
      <c r="F149" s="26"/>
      <c r="G149" s="26"/>
      <c r="H149" s="26"/>
      <c r="I149" s="26"/>
      <c r="J149" s="26"/>
      <c r="K149" s="26"/>
      <c r="L149" s="27" t="s">
        <v>4</v>
      </c>
      <c r="M149" s="12" t="s">
        <v>4</v>
      </c>
      <c r="N149" s="16" t="s">
        <v>4</v>
      </c>
      <c r="O149" s="122"/>
    </row>
    <row r="150" spans="1:15" ht="12.95" customHeight="1">
      <c r="A150" s="372"/>
      <c r="B150" s="375"/>
      <c r="C150" s="14" t="s">
        <v>4</v>
      </c>
      <c r="D150" s="126" t="s">
        <v>501</v>
      </c>
      <c r="E150" s="127"/>
      <c r="F150" s="127"/>
      <c r="G150" s="127"/>
      <c r="H150" s="127"/>
      <c r="I150" s="127"/>
      <c r="J150" s="127"/>
      <c r="K150" s="127"/>
      <c r="L150" s="127"/>
      <c r="M150" s="127"/>
      <c r="N150" s="127"/>
      <c r="O150" s="122"/>
    </row>
    <row r="151" spans="1:15" ht="12.95" customHeight="1">
      <c r="A151" s="373"/>
      <c r="B151" s="376"/>
      <c r="C151" s="16" t="s">
        <v>4</v>
      </c>
      <c r="D151" s="124" t="s">
        <v>577</v>
      </c>
      <c r="E151" s="125"/>
      <c r="F151" s="125"/>
      <c r="G151" s="125"/>
      <c r="H151" s="125"/>
      <c r="I151" s="125"/>
      <c r="J151" s="125"/>
      <c r="K151" s="125"/>
      <c r="L151" s="125"/>
      <c r="M151" s="125"/>
      <c r="N151" s="125"/>
      <c r="O151" s="123"/>
    </row>
    <row r="152" spans="1:15" ht="12.6">
      <c r="A152" s="19" t="s">
        <v>625</v>
      </c>
      <c r="B152" s="15"/>
      <c r="C152" s="16"/>
      <c r="D152" s="16"/>
      <c r="E152" s="16"/>
      <c r="F152" s="16"/>
      <c r="G152" s="16"/>
      <c r="H152" s="16"/>
      <c r="I152" s="16"/>
      <c r="J152" s="16"/>
      <c r="K152" s="16"/>
      <c r="L152" s="16"/>
      <c r="M152" s="16"/>
      <c r="N152" s="17"/>
      <c r="O152" s="14"/>
    </row>
    <row r="153" spans="1:15" ht="12.6">
      <c r="A153" s="356" t="s">
        <v>527</v>
      </c>
      <c r="B153" s="22" t="s">
        <v>528</v>
      </c>
      <c r="C153" s="22" t="s">
        <v>4</v>
      </c>
      <c r="D153" s="22" t="s">
        <v>529</v>
      </c>
      <c r="E153" s="22"/>
      <c r="F153" s="22"/>
      <c r="G153" s="22"/>
      <c r="H153" s="22"/>
      <c r="I153" s="22"/>
      <c r="J153" s="22"/>
      <c r="K153" s="22"/>
      <c r="L153" s="22" t="s">
        <v>641</v>
      </c>
      <c r="M153" s="22" t="s">
        <v>642</v>
      </c>
      <c r="N153" s="470" t="s">
        <v>643</v>
      </c>
      <c r="O153" s="471"/>
    </row>
    <row r="154" spans="1:15" ht="12.6">
      <c r="A154" s="357"/>
      <c r="B154" s="11" t="s">
        <v>4</v>
      </c>
      <c r="C154" s="11" t="s">
        <v>4</v>
      </c>
      <c r="D154" s="11" t="s">
        <v>4</v>
      </c>
      <c r="E154" s="11"/>
      <c r="F154" s="11"/>
      <c r="G154" s="11"/>
      <c r="H154" s="11"/>
      <c r="I154" s="11"/>
      <c r="J154" s="11"/>
      <c r="K154" s="11"/>
      <c r="L154" s="11" t="s">
        <v>4</v>
      </c>
      <c r="M154" s="11" t="s">
        <v>4</v>
      </c>
      <c r="N154" s="334" t="s">
        <v>4</v>
      </c>
      <c r="O154" s="335"/>
    </row>
    <row r="155" spans="1:15" ht="12.6">
      <c r="A155" s="356" t="s">
        <v>530</v>
      </c>
      <c r="B155" s="22" t="s">
        <v>531</v>
      </c>
      <c r="C155" s="22" t="s">
        <v>4</v>
      </c>
      <c r="D155" s="358" t="s">
        <v>4</v>
      </c>
      <c r="E155" s="359"/>
      <c r="F155" s="359"/>
      <c r="G155" s="359"/>
      <c r="H155" s="359"/>
      <c r="I155" s="359"/>
      <c r="J155" s="359"/>
      <c r="K155" s="359"/>
      <c r="L155" s="359"/>
      <c r="M155" s="359"/>
      <c r="N155" s="359"/>
      <c r="O155" s="360"/>
    </row>
    <row r="156" spans="1:15" ht="12.6">
      <c r="A156" s="357"/>
      <c r="B156" s="11" t="s">
        <v>4</v>
      </c>
      <c r="C156" s="23" t="s">
        <v>4</v>
      </c>
      <c r="D156" s="361"/>
      <c r="E156" s="362"/>
      <c r="F156" s="362"/>
      <c r="G156" s="362"/>
      <c r="H156" s="362"/>
      <c r="I156" s="362"/>
      <c r="J156" s="362"/>
      <c r="K156" s="362"/>
      <c r="L156" s="362"/>
      <c r="M156" s="362"/>
      <c r="N156" s="362"/>
      <c r="O156" s="363"/>
    </row>
    <row r="157" spans="1:15" ht="12.6"/>
    <row r="158" spans="1:15" ht="12.6">
      <c r="A158" s="19" t="s">
        <v>579</v>
      </c>
      <c r="B158" s="20" t="s">
        <v>580</v>
      </c>
      <c r="C158" s="20" t="s">
        <v>4</v>
      </c>
      <c r="D158" s="21" t="s">
        <v>495</v>
      </c>
      <c r="E158" s="21" t="s">
        <v>633</v>
      </c>
      <c r="F158" s="21" t="s">
        <v>634</v>
      </c>
      <c r="G158" s="21" t="s">
        <v>635</v>
      </c>
      <c r="H158" s="21" t="s">
        <v>636</v>
      </c>
      <c r="I158" s="21" t="s">
        <v>637</v>
      </c>
      <c r="J158" s="21" t="s">
        <v>638</v>
      </c>
      <c r="K158" s="21" t="s">
        <v>639</v>
      </c>
      <c r="L158" s="21" t="s">
        <v>105</v>
      </c>
      <c r="M158" s="21" t="s">
        <v>106</v>
      </c>
      <c r="N158" s="21" t="s">
        <v>645</v>
      </c>
      <c r="O158" s="89" t="s">
        <v>496</v>
      </c>
    </row>
    <row r="159" spans="1:15" ht="29.45" customHeight="1">
      <c r="A159" s="364" t="s">
        <v>581</v>
      </c>
      <c r="B159" s="379" t="s">
        <v>582</v>
      </c>
      <c r="C159" s="25" t="s">
        <v>498</v>
      </c>
      <c r="D159" s="82">
        <v>0.9</v>
      </c>
      <c r="E159" s="82">
        <v>0.95</v>
      </c>
      <c r="F159" s="82">
        <v>0.95</v>
      </c>
      <c r="G159" s="82">
        <v>0.95</v>
      </c>
      <c r="H159" s="82">
        <v>0.95</v>
      </c>
      <c r="I159" s="82">
        <v>0.95</v>
      </c>
      <c r="J159" s="82">
        <v>0.95</v>
      </c>
      <c r="K159" s="82">
        <v>0.95</v>
      </c>
      <c r="L159" s="12" t="s">
        <v>4</v>
      </c>
      <c r="M159" s="12" t="s">
        <v>4</v>
      </c>
      <c r="N159" s="16" t="s">
        <v>4</v>
      </c>
      <c r="O159" s="121" t="s">
        <v>4</v>
      </c>
    </row>
    <row r="160" spans="1:15" ht="12.95" customHeight="1">
      <c r="A160" s="365"/>
      <c r="B160" s="380"/>
      <c r="C160" s="24" t="s">
        <v>500</v>
      </c>
      <c r="D160" s="26" t="s">
        <v>4</v>
      </c>
      <c r="E160" s="26"/>
      <c r="F160" s="26"/>
      <c r="G160" s="26"/>
      <c r="H160" s="26"/>
      <c r="I160" s="26"/>
      <c r="J160" s="26"/>
      <c r="K160" s="26"/>
      <c r="L160" s="27" t="s">
        <v>4</v>
      </c>
      <c r="M160" s="12" t="s">
        <v>4</v>
      </c>
      <c r="N160" s="16" t="s">
        <v>4</v>
      </c>
      <c r="O160" s="122"/>
    </row>
    <row r="161" spans="1:15" ht="12.95" customHeight="1">
      <c r="A161" s="365"/>
      <c r="B161" s="380"/>
      <c r="C161" s="14" t="s">
        <v>4</v>
      </c>
      <c r="D161" s="126" t="s">
        <v>501</v>
      </c>
      <c r="E161" s="127"/>
      <c r="F161" s="127"/>
      <c r="G161" s="127"/>
      <c r="H161" s="127"/>
      <c r="I161" s="127"/>
      <c r="J161" s="127"/>
      <c r="K161" s="127"/>
      <c r="L161" s="127"/>
      <c r="M161" s="127"/>
      <c r="N161" s="127"/>
      <c r="O161" s="122"/>
    </row>
    <row r="162" spans="1:15" ht="12.95" customHeight="1">
      <c r="A162" s="365"/>
      <c r="B162" s="381"/>
      <c r="C162" s="16" t="s">
        <v>4</v>
      </c>
      <c r="D162" s="124" t="s">
        <v>184</v>
      </c>
      <c r="E162" s="125"/>
      <c r="F162" s="125"/>
      <c r="G162" s="125"/>
      <c r="H162" s="125"/>
      <c r="I162" s="125"/>
      <c r="J162" s="125"/>
      <c r="K162" s="125"/>
      <c r="L162" s="125"/>
      <c r="M162" s="125"/>
      <c r="N162" s="125"/>
      <c r="O162" s="122"/>
    </row>
    <row r="163" spans="1:15" ht="12.95" customHeight="1">
      <c r="A163" s="365"/>
      <c r="B163" s="91" t="s">
        <v>584</v>
      </c>
      <c r="C163" s="9" t="s">
        <v>4</v>
      </c>
      <c r="D163" s="10" t="s">
        <v>495</v>
      </c>
      <c r="E163" s="21" t="s">
        <v>633</v>
      </c>
      <c r="F163" s="21" t="s">
        <v>634</v>
      </c>
      <c r="G163" s="21" t="s">
        <v>635</v>
      </c>
      <c r="H163" s="21" t="s">
        <v>636</v>
      </c>
      <c r="I163" s="21" t="s">
        <v>637</v>
      </c>
      <c r="J163" s="21" t="s">
        <v>638</v>
      </c>
      <c r="K163" s="21" t="s">
        <v>639</v>
      </c>
      <c r="L163" s="21" t="s">
        <v>105</v>
      </c>
      <c r="M163" s="21" t="s">
        <v>106</v>
      </c>
      <c r="N163" s="21" t="s">
        <v>645</v>
      </c>
      <c r="O163" s="89" t="s">
        <v>496</v>
      </c>
    </row>
    <row r="164" spans="1:15" ht="23.45" customHeight="1">
      <c r="A164" s="372"/>
      <c r="B164" s="374" t="s">
        <v>292</v>
      </c>
      <c r="C164" s="25" t="s">
        <v>498</v>
      </c>
      <c r="D164" s="93">
        <v>0</v>
      </c>
      <c r="E164" s="93"/>
      <c r="F164" s="93"/>
      <c r="G164" s="93"/>
      <c r="H164" s="93"/>
      <c r="I164" s="93"/>
      <c r="J164" s="93"/>
      <c r="K164" s="93"/>
      <c r="L164" s="12" t="s">
        <v>4</v>
      </c>
      <c r="M164" s="12" t="s">
        <v>4</v>
      </c>
      <c r="N164" s="16" t="s">
        <v>4</v>
      </c>
      <c r="O164" s="122"/>
    </row>
    <row r="165" spans="1:15" ht="12.95" customHeight="1">
      <c r="A165" s="372"/>
      <c r="B165" s="375"/>
      <c r="C165" s="24" t="s">
        <v>500</v>
      </c>
      <c r="D165" s="26" t="s">
        <v>4</v>
      </c>
      <c r="E165" s="26"/>
      <c r="F165" s="26"/>
      <c r="G165" s="26"/>
      <c r="H165" s="26"/>
      <c r="I165" s="26"/>
      <c r="J165" s="26"/>
      <c r="K165" s="26"/>
      <c r="L165" s="27" t="s">
        <v>4</v>
      </c>
      <c r="M165" s="12" t="s">
        <v>4</v>
      </c>
      <c r="N165" s="16" t="s">
        <v>4</v>
      </c>
      <c r="O165" s="122"/>
    </row>
    <row r="166" spans="1:15" ht="12.95" customHeight="1">
      <c r="A166" s="372"/>
      <c r="B166" s="375"/>
      <c r="C166" s="14" t="s">
        <v>4</v>
      </c>
      <c r="D166" s="126" t="s">
        <v>501</v>
      </c>
      <c r="E166" s="127"/>
      <c r="F166" s="127"/>
      <c r="G166" s="127"/>
      <c r="H166" s="127"/>
      <c r="I166" s="127"/>
      <c r="J166" s="127"/>
      <c r="K166" s="127"/>
      <c r="L166" s="127"/>
      <c r="M166" s="127"/>
      <c r="N166" s="127"/>
      <c r="O166" s="122"/>
    </row>
    <row r="167" spans="1:15" ht="12.95" customHeight="1">
      <c r="A167" s="373"/>
      <c r="B167" s="376"/>
      <c r="C167" s="16" t="s">
        <v>4</v>
      </c>
      <c r="D167" s="124" t="s">
        <v>236</v>
      </c>
      <c r="E167" s="125"/>
      <c r="F167" s="125"/>
      <c r="G167" s="125"/>
      <c r="H167" s="125"/>
      <c r="I167" s="125"/>
      <c r="J167" s="125"/>
      <c r="K167" s="125"/>
      <c r="L167" s="125"/>
      <c r="M167" s="125"/>
      <c r="N167" s="125"/>
      <c r="O167" s="122"/>
    </row>
    <row r="168" spans="1:15" ht="12.95" customHeight="1">
      <c r="A168" s="8" t="s">
        <v>625</v>
      </c>
      <c r="B168" s="9" t="s">
        <v>586</v>
      </c>
      <c r="C168" s="9" t="s">
        <v>4</v>
      </c>
      <c r="D168" s="10" t="s">
        <v>495</v>
      </c>
      <c r="E168" s="21" t="s">
        <v>633</v>
      </c>
      <c r="F168" s="21" t="s">
        <v>634</v>
      </c>
      <c r="G168" s="21" t="s">
        <v>635</v>
      </c>
      <c r="H168" s="21" t="s">
        <v>636</v>
      </c>
      <c r="I168" s="21" t="s">
        <v>637</v>
      </c>
      <c r="J168" s="21" t="s">
        <v>638</v>
      </c>
      <c r="K168" s="21" t="s">
        <v>639</v>
      </c>
      <c r="L168" s="21" t="s">
        <v>105</v>
      </c>
      <c r="M168" s="21" t="s">
        <v>106</v>
      </c>
      <c r="N168" s="21" t="s">
        <v>645</v>
      </c>
      <c r="O168" s="89" t="s">
        <v>496</v>
      </c>
    </row>
    <row r="169" spans="1:15" ht="23.45" customHeight="1">
      <c r="A169" s="400" t="s">
        <v>4</v>
      </c>
      <c r="B169" s="397" t="s">
        <v>587</v>
      </c>
      <c r="C169" s="25" t="s">
        <v>498</v>
      </c>
      <c r="D169" s="93">
        <v>0</v>
      </c>
      <c r="E169" s="93"/>
      <c r="F169" s="93"/>
      <c r="G169" s="93"/>
      <c r="H169" s="93"/>
      <c r="I169" s="93"/>
      <c r="J169" s="93"/>
      <c r="K169" s="93"/>
      <c r="L169" s="12" t="s">
        <v>4</v>
      </c>
      <c r="M169" s="12" t="s">
        <v>4</v>
      </c>
      <c r="N169" s="16" t="s">
        <v>4</v>
      </c>
      <c r="O169" s="122"/>
    </row>
    <row r="170" spans="1:15" ht="12.95" customHeight="1">
      <c r="A170" s="401"/>
      <c r="B170" s="398"/>
      <c r="C170" s="24" t="s">
        <v>500</v>
      </c>
      <c r="D170" s="26" t="s">
        <v>4</v>
      </c>
      <c r="E170" s="26"/>
      <c r="F170" s="26"/>
      <c r="G170" s="26"/>
      <c r="H170" s="26"/>
      <c r="I170" s="26"/>
      <c r="J170" s="26"/>
      <c r="K170" s="26"/>
      <c r="L170" s="27" t="s">
        <v>4</v>
      </c>
      <c r="M170" s="12" t="s">
        <v>4</v>
      </c>
      <c r="N170" s="16" t="s">
        <v>4</v>
      </c>
      <c r="O170" s="122"/>
    </row>
    <row r="171" spans="1:15" ht="12.95" customHeight="1">
      <c r="A171" s="401"/>
      <c r="B171" s="398"/>
      <c r="C171" s="14" t="s">
        <v>4</v>
      </c>
      <c r="D171" s="126" t="s">
        <v>501</v>
      </c>
      <c r="E171" s="127"/>
      <c r="F171" s="127"/>
      <c r="G171" s="127"/>
      <c r="H171" s="127"/>
      <c r="I171" s="127"/>
      <c r="J171" s="127"/>
      <c r="K171" s="127"/>
      <c r="L171" s="127"/>
      <c r="M171" s="127"/>
      <c r="N171" s="127"/>
      <c r="O171" s="122"/>
    </row>
    <row r="172" spans="1:15" ht="12.95" customHeight="1">
      <c r="A172" s="401"/>
      <c r="B172" s="399"/>
      <c r="C172" s="16" t="s">
        <v>4</v>
      </c>
      <c r="D172" s="124" t="s">
        <v>236</v>
      </c>
      <c r="E172" s="125"/>
      <c r="F172" s="125"/>
      <c r="G172" s="125"/>
      <c r="H172" s="125"/>
      <c r="I172" s="125"/>
      <c r="J172" s="125"/>
      <c r="K172" s="125"/>
      <c r="L172" s="125"/>
      <c r="M172" s="125"/>
      <c r="N172" s="125"/>
      <c r="O172" s="123"/>
    </row>
    <row r="173" spans="1:15" ht="12.6">
      <c r="A173" s="401"/>
      <c r="B173" s="15"/>
      <c r="C173" s="16"/>
      <c r="D173" s="16"/>
      <c r="E173" s="16"/>
      <c r="F173" s="16"/>
      <c r="G173" s="16"/>
      <c r="H173" s="16"/>
      <c r="I173" s="16"/>
      <c r="J173" s="16"/>
      <c r="K173" s="16"/>
      <c r="L173" s="16"/>
      <c r="M173" s="16"/>
      <c r="N173" s="17"/>
      <c r="O173" s="14"/>
    </row>
    <row r="174" spans="1:15" ht="12.6">
      <c r="A174" s="356" t="s">
        <v>527</v>
      </c>
      <c r="B174" s="22" t="s">
        <v>528</v>
      </c>
      <c r="C174" s="22" t="s">
        <v>4</v>
      </c>
      <c r="D174" s="22" t="s">
        <v>529</v>
      </c>
      <c r="E174" s="22"/>
      <c r="F174" s="22"/>
      <c r="G174" s="22"/>
      <c r="H174" s="22"/>
      <c r="I174" s="22"/>
      <c r="J174" s="22"/>
      <c r="K174" s="22"/>
      <c r="L174" s="22" t="s">
        <v>641</v>
      </c>
      <c r="M174" s="22" t="s">
        <v>642</v>
      </c>
      <c r="N174" s="470" t="s">
        <v>643</v>
      </c>
      <c r="O174" s="471"/>
    </row>
    <row r="175" spans="1:15" ht="12.6">
      <c r="A175" s="357"/>
      <c r="B175" s="11" t="s">
        <v>4</v>
      </c>
      <c r="C175" s="11" t="s">
        <v>4</v>
      </c>
      <c r="D175" s="11" t="s">
        <v>4</v>
      </c>
      <c r="E175" s="11"/>
      <c r="F175" s="11"/>
      <c r="G175" s="11"/>
      <c r="H175" s="11"/>
      <c r="I175" s="11"/>
      <c r="J175" s="11"/>
      <c r="K175" s="11"/>
      <c r="L175" s="11" t="s">
        <v>4</v>
      </c>
      <c r="M175" s="11" t="s">
        <v>4</v>
      </c>
      <c r="N175" s="334" t="s">
        <v>4</v>
      </c>
      <c r="O175" s="335"/>
    </row>
    <row r="176" spans="1:15" ht="12.6">
      <c r="A176" s="356" t="s">
        <v>530</v>
      </c>
      <c r="B176" s="22" t="s">
        <v>531</v>
      </c>
      <c r="C176" s="22" t="s">
        <v>4</v>
      </c>
      <c r="D176" s="358" t="s">
        <v>4</v>
      </c>
      <c r="E176" s="359"/>
      <c r="F176" s="359"/>
      <c r="G176" s="359"/>
      <c r="H176" s="359"/>
      <c r="I176" s="359"/>
      <c r="J176" s="359"/>
      <c r="K176" s="359"/>
      <c r="L176" s="359"/>
      <c r="M176" s="359"/>
      <c r="N176" s="359"/>
      <c r="O176" s="360"/>
    </row>
    <row r="177" spans="1:15" ht="12.6">
      <c r="A177" s="357"/>
      <c r="B177" s="11" t="s">
        <v>4</v>
      </c>
      <c r="C177" s="23" t="s">
        <v>4</v>
      </c>
      <c r="D177" s="361"/>
      <c r="E177" s="362"/>
      <c r="F177" s="362"/>
      <c r="G177" s="362"/>
      <c r="H177" s="362"/>
      <c r="I177" s="362"/>
      <c r="J177" s="362"/>
      <c r="K177" s="362"/>
      <c r="L177" s="362"/>
      <c r="M177" s="362"/>
      <c r="N177" s="362"/>
      <c r="O177" s="363"/>
    </row>
    <row r="178" spans="1:15" ht="12.6"/>
    <row r="179" spans="1:15" ht="12.6">
      <c r="A179" s="19" t="s">
        <v>628</v>
      </c>
      <c r="B179" s="20" t="s">
        <v>589</v>
      </c>
      <c r="C179" s="20" t="s">
        <v>4</v>
      </c>
      <c r="D179" s="21" t="s">
        <v>495</v>
      </c>
      <c r="E179" s="21" t="s">
        <v>633</v>
      </c>
      <c r="F179" s="21" t="s">
        <v>634</v>
      </c>
      <c r="G179" s="21" t="s">
        <v>635</v>
      </c>
      <c r="H179" s="21" t="s">
        <v>636</v>
      </c>
      <c r="I179" s="21" t="s">
        <v>637</v>
      </c>
      <c r="J179" s="21" t="s">
        <v>638</v>
      </c>
      <c r="K179" s="21" t="s">
        <v>639</v>
      </c>
      <c r="L179" s="21" t="s">
        <v>105</v>
      </c>
      <c r="M179" s="21" t="s">
        <v>106</v>
      </c>
      <c r="N179" s="21" t="s">
        <v>645</v>
      </c>
      <c r="O179" s="89" t="s">
        <v>496</v>
      </c>
    </row>
    <row r="180" spans="1:15" ht="29.45" customHeight="1">
      <c r="A180" s="371" t="s">
        <v>588</v>
      </c>
      <c r="B180" s="397" t="s">
        <v>605</v>
      </c>
      <c r="C180" s="25" t="s">
        <v>498</v>
      </c>
      <c r="D180" s="90">
        <v>0</v>
      </c>
      <c r="E180" s="90"/>
      <c r="F180" s="90"/>
      <c r="G180" s="90"/>
      <c r="H180" s="90"/>
      <c r="I180" s="90"/>
      <c r="J180" s="90"/>
      <c r="K180" s="90"/>
      <c r="L180" s="12" t="s">
        <v>4</v>
      </c>
      <c r="M180" s="12" t="s">
        <v>4</v>
      </c>
      <c r="N180" s="16" t="s">
        <v>4</v>
      </c>
      <c r="O180" s="121" t="s">
        <v>4</v>
      </c>
    </row>
    <row r="181" spans="1:15" ht="12.95" customHeight="1">
      <c r="A181" s="372"/>
      <c r="B181" s="398"/>
      <c r="C181" s="24" t="s">
        <v>500</v>
      </c>
      <c r="D181" s="26" t="s">
        <v>4</v>
      </c>
      <c r="E181" s="26"/>
      <c r="F181" s="26"/>
      <c r="G181" s="26"/>
      <c r="H181" s="26"/>
      <c r="I181" s="26"/>
      <c r="J181" s="26"/>
      <c r="K181" s="26"/>
      <c r="L181" s="27" t="s">
        <v>4</v>
      </c>
      <c r="M181" s="12" t="s">
        <v>4</v>
      </c>
      <c r="N181" s="16" t="s">
        <v>4</v>
      </c>
      <c r="O181" s="122"/>
    </row>
    <row r="182" spans="1:15" ht="12.95" customHeight="1">
      <c r="A182" s="372"/>
      <c r="B182" s="398"/>
      <c r="C182" s="14" t="s">
        <v>4</v>
      </c>
      <c r="D182" s="126" t="s">
        <v>501</v>
      </c>
      <c r="E182" s="127"/>
      <c r="F182" s="127"/>
      <c r="G182" s="127"/>
      <c r="H182" s="127"/>
      <c r="I182" s="127"/>
      <c r="J182" s="127"/>
      <c r="K182" s="127"/>
      <c r="L182" s="127"/>
      <c r="M182" s="127"/>
      <c r="N182" s="127"/>
      <c r="O182" s="122"/>
    </row>
    <row r="183" spans="1:15" ht="12.95" customHeight="1">
      <c r="A183" s="372"/>
      <c r="B183" s="399"/>
      <c r="C183" s="16" t="s">
        <v>4</v>
      </c>
      <c r="D183" s="124" t="s">
        <v>184</v>
      </c>
      <c r="E183" s="125"/>
      <c r="F183" s="125"/>
      <c r="G183" s="125"/>
      <c r="H183" s="125"/>
      <c r="I183" s="125"/>
      <c r="J183" s="125"/>
      <c r="K183" s="125"/>
      <c r="L183" s="125"/>
      <c r="M183" s="125"/>
      <c r="N183" s="125"/>
      <c r="O183" s="122"/>
    </row>
    <row r="184" spans="1:15" ht="12.95" customHeight="1">
      <c r="A184" s="372"/>
      <c r="B184" s="91" t="s">
        <v>630</v>
      </c>
      <c r="C184" s="9" t="s">
        <v>4</v>
      </c>
      <c r="D184" s="10" t="s">
        <v>495</v>
      </c>
      <c r="E184" s="21" t="s">
        <v>633</v>
      </c>
      <c r="F184" s="21" t="s">
        <v>634</v>
      </c>
      <c r="G184" s="21" t="s">
        <v>635</v>
      </c>
      <c r="H184" s="21" t="s">
        <v>636</v>
      </c>
      <c r="I184" s="21" t="s">
        <v>637</v>
      </c>
      <c r="J184" s="21" t="s">
        <v>638</v>
      </c>
      <c r="K184" s="21" t="s">
        <v>639</v>
      </c>
      <c r="L184" s="21" t="s">
        <v>105</v>
      </c>
      <c r="M184" s="21" t="s">
        <v>106</v>
      </c>
      <c r="N184" s="21" t="s">
        <v>645</v>
      </c>
      <c r="O184" s="89" t="s">
        <v>496</v>
      </c>
    </row>
    <row r="185" spans="1:15" ht="23.45" customHeight="1">
      <c r="A185" s="372"/>
      <c r="B185" s="397" t="s">
        <v>299</v>
      </c>
      <c r="C185" s="25" t="s">
        <v>498</v>
      </c>
      <c r="D185" s="90">
        <v>0</v>
      </c>
      <c r="E185" s="90"/>
      <c r="F185" s="90"/>
      <c r="G185" s="90"/>
      <c r="H185" s="90"/>
      <c r="I185" s="90"/>
      <c r="J185" s="90"/>
      <c r="K185" s="90"/>
      <c r="L185" s="12" t="s">
        <v>4</v>
      </c>
      <c r="M185" s="12" t="s">
        <v>4</v>
      </c>
      <c r="N185" s="16" t="s">
        <v>4</v>
      </c>
      <c r="O185" s="122"/>
    </row>
    <row r="186" spans="1:15" ht="12.95" customHeight="1">
      <c r="A186" s="372"/>
      <c r="B186" s="398"/>
      <c r="C186" s="24" t="s">
        <v>500</v>
      </c>
      <c r="D186" s="26" t="s">
        <v>4</v>
      </c>
      <c r="E186" s="26"/>
      <c r="F186" s="26"/>
      <c r="G186" s="26"/>
      <c r="H186" s="26"/>
      <c r="I186" s="26"/>
      <c r="J186" s="26"/>
      <c r="K186" s="26"/>
      <c r="L186" s="27" t="s">
        <v>4</v>
      </c>
      <c r="M186" s="12" t="s">
        <v>4</v>
      </c>
      <c r="N186" s="16" t="s">
        <v>4</v>
      </c>
      <c r="O186" s="122"/>
    </row>
    <row r="187" spans="1:15" ht="12.95" customHeight="1">
      <c r="A187" s="372"/>
      <c r="B187" s="398"/>
      <c r="C187" s="14" t="s">
        <v>4</v>
      </c>
      <c r="D187" s="126" t="s">
        <v>501</v>
      </c>
      <c r="E187" s="127"/>
      <c r="F187" s="127"/>
      <c r="G187" s="127"/>
      <c r="H187" s="127"/>
      <c r="I187" s="127"/>
      <c r="J187" s="127"/>
      <c r="K187" s="127"/>
      <c r="L187" s="127"/>
      <c r="M187" s="127"/>
      <c r="N187" s="127"/>
      <c r="O187" s="122"/>
    </row>
    <row r="188" spans="1:15" ht="12.95" customHeight="1">
      <c r="A188" s="372"/>
      <c r="B188" s="399"/>
      <c r="C188" s="16" t="s">
        <v>4</v>
      </c>
      <c r="D188" s="124" t="s">
        <v>184</v>
      </c>
      <c r="E188" s="125"/>
      <c r="F188" s="125"/>
      <c r="G188" s="125"/>
      <c r="H188" s="125"/>
      <c r="I188" s="125"/>
      <c r="J188" s="125"/>
      <c r="K188" s="125"/>
      <c r="L188" s="125"/>
      <c r="M188" s="125"/>
      <c r="N188" s="125"/>
      <c r="O188" s="123"/>
    </row>
    <row r="189" spans="1:15" ht="12.6">
      <c r="A189" s="8" t="s">
        <v>625</v>
      </c>
      <c r="B189" s="15"/>
      <c r="C189" s="16"/>
      <c r="D189" s="16"/>
      <c r="E189" s="16"/>
      <c r="F189" s="16"/>
      <c r="G189" s="16"/>
      <c r="H189" s="16"/>
      <c r="I189" s="16"/>
      <c r="J189" s="16"/>
      <c r="K189" s="16"/>
      <c r="L189" s="16"/>
      <c r="M189" s="16"/>
      <c r="N189" s="17"/>
      <c r="O189" s="14"/>
    </row>
    <row r="190" spans="1:15" ht="12.6">
      <c r="A190" s="356" t="s">
        <v>527</v>
      </c>
      <c r="B190" s="22" t="s">
        <v>528</v>
      </c>
      <c r="C190" s="22" t="s">
        <v>4</v>
      </c>
      <c r="D190" s="22" t="s">
        <v>529</v>
      </c>
      <c r="E190" s="22"/>
      <c r="F190" s="22"/>
      <c r="G190" s="22"/>
      <c r="H190" s="22"/>
      <c r="I190" s="22"/>
      <c r="J190" s="22"/>
      <c r="K190" s="22"/>
      <c r="L190" s="22" t="s">
        <v>641</v>
      </c>
      <c r="M190" s="22" t="s">
        <v>642</v>
      </c>
      <c r="N190" s="470" t="s">
        <v>643</v>
      </c>
      <c r="O190" s="471"/>
    </row>
    <row r="191" spans="1:15" ht="12.6">
      <c r="A191" s="357"/>
      <c r="B191" s="11" t="s">
        <v>4</v>
      </c>
      <c r="C191" s="11" t="s">
        <v>4</v>
      </c>
      <c r="D191" s="11" t="s">
        <v>4</v>
      </c>
      <c r="E191" s="11"/>
      <c r="F191" s="11"/>
      <c r="G191" s="11"/>
      <c r="H191" s="11"/>
      <c r="I191" s="11"/>
      <c r="J191" s="11"/>
      <c r="K191" s="11"/>
      <c r="L191" s="11" t="s">
        <v>4</v>
      </c>
      <c r="M191" s="11" t="s">
        <v>4</v>
      </c>
      <c r="N191" s="334" t="s">
        <v>4</v>
      </c>
      <c r="O191" s="335"/>
    </row>
    <row r="192" spans="1:15" ht="12.6">
      <c r="A192" s="356" t="s">
        <v>530</v>
      </c>
      <c r="B192" s="22" t="s">
        <v>531</v>
      </c>
      <c r="C192" s="22" t="s">
        <v>4</v>
      </c>
      <c r="D192" s="358" t="s">
        <v>4</v>
      </c>
      <c r="E192" s="359"/>
      <c r="F192" s="359"/>
      <c r="G192" s="359"/>
      <c r="H192" s="359"/>
      <c r="I192" s="359"/>
      <c r="J192" s="359"/>
      <c r="K192" s="359"/>
      <c r="L192" s="359"/>
      <c r="M192" s="359"/>
      <c r="N192" s="359"/>
      <c r="O192" s="360"/>
    </row>
    <row r="193" spans="1:15" ht="12.6">
      <c r="A193" s="357"/>
      <c r="B193" s="11" t="s">
        <v>4</v>
      </c>
      <c r="C193" s="23" t="s">
        <v>4</v>
      </c>
      <c r="D193" s="361"/>
      <c r="E193" s="362"/>
      <c r="F193" s="362"/>
      <c r="G193" s="362"/>
      <c r="H193" s="362"/>
      <c r="I193" s="362"/>
      <c r="J193" s="362"/>
      <c r="K193" s="362"/>
      <c r="L193" s="362"/>
      <c r="M193" s="362"/>
      <c r="N193" s="362"/>
      <c r="O193" s="363"/>
    </row>
    <row r="194" spans="1:15" ht="12.6"/>
    <row r="195" spans="1:15" ht="12.6"/>
    <row r="196" spans="1:15" ht="12.6"/>
    <row r="197" spans="1:15" ht="12.6"/>
    <row r="198" spans="1:15" ht="12.6"/>
    <row r="199" spans="1:15" ht="12.6"/>
    <row r="200" spans="1:15" ht="12.6"/>
    <row r="201" spans="1:15" ht="12.6"/>
    <row r="202" spans="1:15" ht="12.6"/>
    <row r="203" spans="1:15" ht="12.6"/>
    <row r="204" spans="1:15" ht="12.6"/>
    <row r="205" spans="1:15" ht="12.6"/>
  </sheetData>
  <mergeCells count="98">
    <mergeCell ref="A192:A193"/>
    <mergeCell ref="D192:O193"/>
    <mergeCell ref="A180:A188"/>
    <mergeCell ref="B180:B183"/>
    <mergeCell ref="B185:B188"/>
    <mergeCell ref="A190:A191"/>
    <mergeCell ref="N190:O190"/>
    <mergeCell ref="N191:O191"/>
    <mergeCell ref="A176:A177"/>
    <mergeCell ref="D176:O177"/>
    <mergeCell ref="A153:A154"/>
    <mergeCell ref="N153:O153"/>
    <mergeCell ref="N154:O154"/>
    <mergeCell ref="A155:A156"/>
    <mergeCell ref="D155:O156"/>
    <mergeCell ref="A159:A167"/>
    <mergeCell ref="B159:B162"/>
    <mergeCell ref="B164:B167"/>
    <mergeCell ref="A169:A173"/>
    <mergeCell ref="B169:B172"/>
    <mergeCell ref="A174:A175"/>
    <mergeCell ref="N174:O174"/>
    <mergeCell ref="N175:O175"/>
    <mergeCell ref="A143:A151"/>
    <mergeCell ref="B143:B146"/>
    <mergeCell ref="B148:B151"/>
    <mergeCell ref="A118:A119"/>
    <mergeCell ref="D118:O119"/>
    <mergeCell ref="A122:A135"/>
    <mergeCell ref="B122:B125"/>
    <mergeCell ref="B127:B130"/>
    <mergeCell ref="B132:B135"/>
    <mergeCell ref="A137:A138"/>
    <mergeCell ref="N137:O137"/>
    <mergeCell ref="N138:O138"/>
    <mergeCell ref="A139:A140"/>
    <mergeCell ref="D139:O140"/>
    <mergeCell ref="B100:B103"/>
    <mergeCell ref="B105:B108"/>
    <mergeCell ref="B110:B113"/>
    <mergeCell ref="A116:A117"/>
    <mergeCell ref="N116:O116"/>
    <mergeCell ref="N117:O117"/>
    <mergeCell ref="B95:B98"/>
    <mergeCell ref="A60:A61"/>
    <mergeCell ref="D60:O61"/>
    <mergeCell ref="A64:A87"/>
    <mergeCell ref="B64:B66"/>
    <mergeCell ref="B69:B72"/>
    <mergeCell ref="B74:B77"/>
    <mergeCell ref="B79:B81"/>
    <mergeCell ref="B84:B86"/>
    <mergeCell ref="A88:A89"/>
    <mergeCell ref="N88:O88"/>
    <mergeCell ref="N89:O89"/>
    <mergeCell ref="A90:A91"/>
    <mergeCell ref="D90:O91"/>
    <mergeCell ref="A58:A59"/>
    <mergeCell ref="N58:O58"/>
    <mergeCell ref="N59:O59"/>
    <mergeCell ref="B44:B47"/>
    <mergeCell ref="D46:N46"/>
    <mergeCell ref="D47:N47"/>
    <mergeCell ref="B49:B52"/>
    <mergeCell ref="D51:N51"/>
    <mergeCell ref="D52:N52"/>
    <mergeCell ref="O24:O52"/>
    <mergeCell ref="A54:A57"/>
    <mergeCell ref="B54:B57"/>
    <mergeCell ref="O54:O57"/>
    <mergeCell ref="D56:N56"/>
    <mergeCell ref="D57:N57"/>
    <mergeCell ref="A24:A52"/>
    <mergeCell ref="B24:B27"/>
    <mergeCell ref="D26:N26"/>
    <mergeCell ref="D27:N27"/>
    <mergeCell ref="B29:B32"/>
    <mergeCell ref="D31:N31"/>
    <mergeCell ref="D32:N32"/>
    <mergeCell ref="B34:B37"/>
    <mergeCell ref="D36:N36"/>
    <mergeCell ref="D37:N37"/>
    <mergeCell ref="B39:B42"/>
    <mergeCell ref="D41:N41"/>
    <mergeCell ref="D42:N42"/>
    <mergeCell ref="A3:O3"/>
    <mergeCell ref="B5:O5"/>
    <mergeCell ref="A7:A20"/>
    <mergeCell ref="B7:B10"/>
    <mergeCell ref="O7:O20"/>
    <mergeCell ref="D9:N9"/>
    <mergeCell ref="D10:N10"/>
    <mergeCell ref="B12:B15"/>
    <mergeCell ref="D14:N14"/>
    <mergeCell ref="D15:N15"/>
    <mergeCell ref="B17:B20"/>
    <mergeCell ref="D19:N19"/>
    <mergeCell ref="D20:N20"/>
  </mergeCells>
  <phoneticPr fontId="0" type="noConversion"/>
  <hyperlinks>
    <hyperlink ref="A1" location="'Guidance Notes'!A1" display="Please refer to the Guidance Notes tab for advice on completing the various fields in the logframe." xr:uid="{47BC954A-DB0E-4323-A2A0-DBCF2FD705ED}"/>
    <hyperlink ref="A2" r:id="rId1" xr:uid="{34F65EC2-E5E7-4E4C-8849-DE7DD0B25DFB}"/>
  </hyperlinks>
  <pageMargins left="0.74803149606299213" right="0.74803149606299213" top="0.98425196850393704" bottom="0.98425196850393704" header="0.51181102362204722" footer="0.51181102362204722"/>
  <pageSetup paperSize="9" scale="48" orientation="landscape"/>
  <headerFooter alignWithMargins="0">
    <oddHeader>&amp;L&amp;"Calibri"&amp;10&amp;K000000OFFICIAL&amp;1#</oddHeader>
    <oddFooter>&amp;LUpdated January 2011</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8F24-553D-434D-AFB2-89D3546D8288}">
  <dimension ref="B1:R103"/>
  <sheetViews>
    <sheetView zoomScale="70" zoomScaleNormal="70" workbookViewId="0">
      <pane xSplit="5" ySplit="2" topLeftCell="H80" activePane="bottomRight" state="frozen"/>
      <selection pane="bottomRight" activeCell="A90" sqref="A90:XFD90"/>
      <selection pane="bottomLeft" activeCell="A4" sqref="A4"/>
      <selection pane="topRight" activeCell="F1" sqref="F1"/>
    </sheetView>
  </sheetViews>
  <sheetFormatPr defaultColWidth="9.140625" defaultRowHeight="15.6"/>
  <cols>
    <col min="1" max="1" width="4.42578125" style="169" customWidth="1"/>
    <col min="2" max="2" width="9.140625" style="169"/>
    <col min="3" max="3" width="13.42578125" style="169" customWidth="1"/>
    <col min="4" max="4" width="12.5703125" style="169" customWidth="1"/>
    <col min="5" max="5" width="26.28515625" style="169" customWidth="1"/>
    <col min="6" max="6" width="22.42578125" style="169" customWidth="1"/>
    <col min="7" max="9" width="18.7109375" style="169" customWidth="1"/>
    <col min="10" max="14" width="20.42578125" style="169" customWidth="1"/>
    <col min="15" max="16384" width="9.140625" style="169"/>
  </cols>
  <sheetData>
    <row r="1" spans="2:14" ht="18.600000000000001">
      <c r="F1" s="427" t="s">
        <v>369</v>
      </c>
      <c r="G1" s="427"/>
      <c r="H1" s="170"/>
      <c r="I1" s="170"/>
      <c r="J1" s="428"/>
      <c r="K1" s="428"/>
      <c r="L1" s="428"/>
      <c r="M1" s="428"/>
      <c r="N1" s="428"/>
    </row>
    <row r="2" spans="2:14" ht="74.099999999999994">
      <c r="B2" s="171" t="s">
        <v>370</v>
      </c>
      <c r="C2" s="171" t="s">
        <v>371</v>
      </c>
      <c r="D2" s="171" t="s">
        <v>372</v>
      </c>
      <c r="E2" s="171" t="s">
        <v>373</v>
      </c>
      <c r="F2" s="171" t="s">
        <v>374</v>
      </c>
      <c r="G2" s="171" t="s">
        <v>375</v>
      </c>
      <c r="H2" s="172" t="s">
        <v>376</v>
      </c>
      <c r="I2" s="172" t="s">
        <v>377</v>
      </c>
      <c r="J2" s="173" t="s">
        <v>378</v>
      </c>
      <c r="K2" s="173" t="s">
        <v>379</v>
      </c>
      <c r="L2" s="173" t="s">
        <v>380</v>
      </c>
      <c r="M2" s="173" t="s">
        <v>381</v>
      </c>
      <c r="N2" s="173" t="s">
        <v>382</v>
      </c>
    </row>
    <row r="3" spans="2:14">
      <c r="B3" s="174">
        <v>1</v>
      </c>
      <c r="C3" s="174" t="s">
        <v>383</v>
      </c>
      <c r="D3" s="174" t="s">
        <v>384</v>
      </c>
      <c r="E3" s="174" t="s">
        <v>385</v>
      </c>
      <c r="F3" s="175">
        <v>43.182003999999999</v>
      </c>
      <c r="G3" s="175">
        <v>9.9362820000000003</v>
      </c>
      <c r="H3" s="176">
        <v>35186</v>
      </c>
      <c r="I3" s="185">
        <f>INT(H3*0.45)</f>
        <v>15833</v>
      </c>
      <c r="J3" s="174">
        <f>INT(I3*3.8%)</f>
        <v>601</v>
      </c>
      <c r="K3" s="174">
        <f>INT(I3*18%)</f>
        <v>2849</v>
      </c>
      <c r="L3" s="174">
        <f>INT(I3*4.5%)</f>
        <v>712</v>
      </c>
      <c r="M3" s="174">
        <f>INT(I3*4%)</f>
        <v>633</v>
      </c>
      <c r="N3" s="174">
        <f>INT(I3*22%)</f>
        <v>3483</v>
      </c>
    </row>
    <row r="4" spans="2:14">
      <c r="B4" s="174">
        <v>2</v>
      </c>
      <c r="C4" s="174" t="s">
        <v>383</v>
      </c>
      <c r="D4" s="174" t="s">
        <v>384</v>
      </c>
      <c r="E4" s="174" t="s">
        <v>386</v>
      </c>
      <c r="F4" s="175">
        <v>43.184629999999999</v>
      </c>
      <c r="G4" s="175">
        <v>9.9311190000000007</v>
      </c>
      <c r="H4" s="176">
        <v>22650</v>
      </c>
      <c r="I4" s="185">
        <f t="shared" ref="I4:I67" si="0">INT(H4*0.45)</f>
        <v>10192</v>
      </c>
      <c r="J4" s="174">
        <f t="shared" ref="J4:J67" si="1">INT(I4*3.8%)</f>
        <v>387</v>
      </c>
      <c r="K4" s="174">
        <f t="shared" ref="K4:K67" si="2">INT(I4*18%)</f>
        <v>1834</v>
      </c>
      <c r="L4" s="174">
        <f t="shared" ref="L4:L67" si="3">INT(I4*4.5%)</f>
        <v>458</v>
      </c>
      <c r="M4" s="174">
        <f t="shared" ref="M4:M67" si="4">INT(I4*4%)</f>
        <v>407</v>
      </c>
      <c r="N4" s="174">
        <f t="shared" ref="N4:N67" si="5">INT(I4*22%)</f>
        <v>2242</v>
      </c>
    </row>
    <row r="5" spans="2:14">
      <c r="B5" s="174">
        <v>3</v>
      </c>
      <c r="C5" s="174" t="s">
        <v>383</v>
      </c>
      <c r="D5" s="174" t="s">
        <v>384</v>
      </c>
      <c r="E5" s="174" t="s">
        <v>387</v>
      </c>
      <c r="F5" s="175">
        <v>43.179296000000001</v>
      </c>
      <c r="G5" s="175">
        <v>9.9290339999999997</v>
      </c>
      <c r="H5" s="176">
        <v>21471</v>
      </c>
      <c r="I5" s="185">
        <f t="shared" si="0"/>
        <v>9661</v>
      </c>
      <c r="J5" s="174">
        <f t="shared" si="1"/>
        <v>367</v>
      </c>
      <c r="K5" s="174">
        <f t="shared" si="2"/>
        <v>1738</v>
      </c>
      <c r="L5" s="174">
        <f t="shared" si="3"/>
        <v>434</v>
      </c>
      <c r="M5" s="174">
        <f t="shared" si="4"/>
        <v>386</v>
      </c>
      <c r="N5" s="174">
        <f t="shared" si="5"/>
        <v>2125</v>
      </c>
    </row>
    <row r="6" spans="2:14">
      <c r="B6" s="174">
        <v>4</v>
      </c>
      <c r="C6" s="174" t="s">
        <v>383</v>
      </c>
      <c r="D6" s="174" t="s">
        <v>384</v>
      </c>
      <c r="E6" s="174" t="s">
        <v>388</v>
      </c>
      <c r="F6" s="175">
        <v>43.195191000000001</v>
      </c>
      <c r="G6" s="175">
        <v>9.9337879999999998</v>
      </c>
      <c r="H6" s="176">
        <v>38764</v>
      </c>
      <c r="I6" s="185">
        <f t="shared" si="0"/>
        <v>17443</v>
      </c>
      <c r="J6" s="174">
        <f t="shared" si="1"/>
        <v>662</v>
      </c>
      <c r="K6" s="174">
        <f t="shared" si="2"/>
        <v>3139</v>
      </c>
      <c r="L6" s="174">
        <f t="shared" si="3"/>
        <v>784</v>
      </c>
      <c r="M6" s="174">
        <f t="shared" si="4"/>
        <v>697</v>
      </c>
      <c r="N6" s="174">
        <f t="shared" si="5"/>
        <v>3837</v>
      </c>
    </row>
    <row r="7" spans="2:14">
      <c r="B7" s="174">
        <v>5</v>
      </c>
      <c r="C7" s="174" t="s">
        <v>383</v>
      </c>
      <c r="D7" s="174" t="s">
        <v>384</v>
      </c>
      <c r="E7" s="174" t="s">
        <v>389</v>
      </c>
      <c r="F7" s="175">
        <v>43.192495999999998</v>
      </c>
      <c r="G7" s="175">
        <v>9.9472500000000004</v>
      </c>
      <c r="H7" s="176">
        <v>35251</v>
      </c>
      <c r="I7" s="185">
        <f t="shared" si="0"/>
        <v>15862</v>
      </c>
      <c r="J7" s="174">
        <f t="shared" si="1"/>
        <v>602</v>
      </c>
      <c r="K7" s="174">
        <f t="shared" si="2"/>
        <v>2855</v>
      </c>
      <c r="L7" s="174">
        <f t="shared" si="3"/>
        <v>713</v>
      </c>
      <c r="M7" s="174">
        <f t="shared" si="4"/>
        <v>634</v>
      </c>
      <c r="N7" s="174">
        <f t="shared" si="5"/>
        <v>3489</v>
      </c>
    </row>
    <row r="8" spans="2:14">
      <c r="B8" s="174">
        <v>6</v>
      </c>
      <c r="C8" s="174" t="s">
        <v>383</v>
      </c>
      <c r="D8" s="174" t="s">
        <v>384</v>
      </c>
      <c r="E8" s="174" t="s">
        <v>390</v>
      </c>
      <c r="F8" s="175">
        <v>43.170664000000002</v>
      </c>
      <c r="G8" s="175">
        <v>9.948518</v>
      </c>
      <c r="H8" s="176">
        <v>19858</v>
      </c>
      <c r="I8" s="185">
        <f t="shared" si="0"/>
        <v>8936</v>
      </c>
      <c r="J8" s="174">
        <f t="shared" si="1"/>
        <v>339</v>
      </c>
      <c r="K8" s="174">
        <f t="shared" si="2"/>
        <v>1608</v>
      </c>
      <c r="L8" s="174">
        <f t="shared" si="3"/>
        <v>402</v>
      </c>
      <c r="M8" s="174">
        <f t="shared" si="4"/>
        <v>357</v>
      </c>
      <c r="N8" s="174">
        <f t="shared" si="5"/>
        <v>1965</v>
      </c>
    </row>
    <row r="9" spans="2:14">
      <c r="B9" s="174">
        <v>7</v>
      </c>
      <c r="C9" s="174" t="s">
        <v>383</v>
      </c>
      <c r="D9" s="174" t="s">
        <v>384</v>
      </c>
      <c r="E9" s="174" t="s">
        <v>391</v>
      </c>
      <c r="F9" s="175">
        <v>43.180342000000003</v>
      </c>
      <c r="G9" s="175">
        <v>9.9367370000000008</v>
      </c>
      <c r="H9" s="176">
        <v>379199</v>
      </c>
      <c r="I9" s="185">
        <f t="shared" si="0"/>
        <v>170639</v>
      </c>
      <c r="J9" s="174">
        <f t="shared" si="1"/>
        <v>6484</v>
      </c>
      <c r="K9" s="174">
        <f t="shared" si="2"/>
        <v>30715</v>
      </c>
      <c r="L9" s="174">
        <f t="shared" si="3"/>
        <v>7678</v>
      </c>
      <c r="M9" s="174">
        <f t="shared" si="4"/>
        <v>6825</v>
      </c>
      <c r="N9" s="174">
        <f t="shared" si="5"/>
        <v>37540</v>
      </c>
    </row>
    <row r="10" spans="2:14">
      <c r="B10" s="174">
        <v>8</v>
      </c>
      <c r="C10" s="174" t="s">
        <v>383</v>
      </c>
      <c r="D10" s="174" t="s">
        <v>384</v>
      </c>
      <c r="E10" s="174" t="s">
        <v>392</v>
      </c>
      <c r="F10" s="175">
        <v>43.303189000000003</v>
      </c>
      <c r="G10" s="175">
        <v>9.6948319999999999</v>
      </c>
      <c r="H10" s="176">
        <v>29913</v>
      </c>
      <c r="I10" s="185">
        <f t="shared" si="0"/>
        <v>13460</v>
      </c>
      <c r="J10" s="174">
        <f t="shared" si="1"/>
        <v>511</v>
      </c>
      <c r="K10" s="174">
        <f t="shared" si="2"/>
        <v>2422</v>
      </c>
      <c r="L10" s="174">
        <f t="shared" si="3"/>
        <v>605</v>
      </c>
      <c r="M10" s="174">
        <f t="shared" si="4"/>
        <v>538</v>
      </c>
      <c r="N10" s="174">
        <f t="shared" si="5"/>
        <v>2961</v>
      </c>
    </row>
    <row r="11" spans="2:14">
      <c r="B11" s="174">
        <v>9</v>
      </c>
      <c r="C11" s="174" t="s">
        <v>383</v>
      </c>
      <c r="D11" s="174" t="s">
        <v>384</v>
      </c>
      <c r="E11" s="174" t="s">
        <v>393</v>
      </c>
      <c r="F11" s="175">
        <v>43.010948999999997</v>
      </c>
      <c r="G11" s="175">
        <v>10.089518</v>
      </c>
      <c r="H11" s="176">
        <v>24738</v>
      </c>
      <c r="I11" s="185">
        <f t="shared" si="0"/>
        <v>11132</v>
      </c>
      <c r="J11" s="174">
        <f t="shared" si="1"/>
        <v>423</v>
      </c>
      <c r="K11" s="174">
        <f t="shared" si="2"/>
        <v>2003</v>
      </c>
      <c r="L11" s="174">
        <f t="shared" si="3"/>
        <v>500</v>
      </c>
      <c r="M11" s="174">
        <f t="shared" si="4"/>
        <v>445</v>
      </c>
      <c r="N11" s="174">
        <f t="shared" si="5"/>
        <v>2449</v>
      </c>
    </row>
    <row r="12" spans="2:14">
      <c r="B12" s="174">
        <v>10</v>
      </c>
      <c r="C12" s="174" t="s">
        <v>383</v>
      </c>
      <c r="D12" s="174" t="s">
        <v>384</v>
      </c>
      <c r="E12" s="174" t="s">
        <v>394</v>
      </c>
      <c r="F12" s="175">
        <v>43.087780000000002</v>
      </c>
      <c r="G12" s="175">
        <v>10.194751999999999</v>
      </c>
      <c r="H12" s="176">
        <v>30407</v>
      </c>
      <c r="I12" s="185">
        <f t="shared" si="0"/>
        <v>13683</v>
      </c>
      <c r="J12" s="174">
        <f t="shared" si="1"/>
        <v>519</v>
      </c>
      <c r="K12" s="174">
        <f t="shared" si="2"/>
        <v>2462</v>
      </c>
      <c r="L12" s="174">
        <f t="shared" si="3"/>
        <v>615</v>
      </c>
      <c r="M12" s="174">
        <f t="shared" si="4"/>
        <v>547</v>
      </c>
      <c r="N12" s="174">
        <f t="shared" si="5"/>
        <v>3010</v>
      </c>
    </row>
    <row r="13" spans="2:14">
      <c r="B13" s="174">
        <v>11</v>
      </c>
      <c r="C13" s="174" t="s">
        <v>383</v>
      </c>
      <c r="D13" s="174" t="s">
        <v>395</v>
      </c>
      <c r="E13" s="174" t="s">
        <v>396</v>
      </c>
      <c r="F13" s="175">
        <v>42.843232</v>
      </c>
      <c r="G13" s="175">
        <v>10.327218999999999</v>
      </c>
      <c r="H13" s="176">
        <v>14723</v>
      </c>
      <c r="I13" s="185">
        <f t="shared" si="0"/>
        <v>6625</v>
      </c>
      <c r="J13" s="174">
        <f t="shared" si="1"/>
        <v>251</v>
      </c>
      <c r="K13" s="174">
        <f t="shared" si="2"/>
        <v>1192</v>
      </c>
      <c r="L13" s="174">
        <f t="shared" si="3"/>
        <v>298</v>
      </c>
      <c r="M13" s="174">
        <f t="shared" si="4"/>
        <v>265</v>
      </c>
      <c r="N13" s="174">
        <f t="shared" si="5"/>
        <v>1457</v>
      </c>
    </row>
    <row r="14" spans="2:14">
      <c r="B14" s="174">
        <v>12</v>
      </c>
      <c r="C14" s="174" t="s">
        <v>383</v>
      </c>
      <c r="D14" s="174" t="s">
        <v>395</v>
      </c>
      <c r="E14" s="174" t="s">
        <v>397</v>
      </c>
      <c r="F14" s="175">
        <v>42.891680999999998</v>
      </c>
      <c r="G14" s="175">
        <v>10.509646</v>
      </c>
      <c r="H14" s="176">
        <v>5599</v>
      </c>
      <c r="I14" s="185">
        <f t="shared" si="0"/>
        <v>2519</v>
      </c>
      <c r="J14" s="174">
        <f t="shared" si="1"/>
        <v>95</v>
      </c>
      <c r="K14" s="174">
        <f t="shared" si="2"/>
        <v>453</v>
      </c>
      <c r="L14" s="174">
        <f t="shared" si="3"/>
        <v>113</v>
      </c>
      <c r="M14" s="174">
        <f t="shared" si="4"/>
        <v>100</v>
      </c>
      <c r="N14" s="174">
        <f t="shared" si="5"/>
        <v>554</v>
      </c>
    </row>
    <row r="15" spans="2:14">
      <c r="B15" s="174">
        <v>13</v>
      </c>
      <c r="C15" s="174" t="s">
        <v>383</v>
      </c>
      <c r="D15" s="174" t="s">
        <v>395</v>
      </c>
      <c r="E15" s="174" t="s">
        <v>398</v>
      </c>
      <c r="F15" s="175">
        <v>43.068139000000002</v>
      </c>
      <c r="G15" s="175">
        <v>10.620894</v>
      </c>
      <c r="H15" s="176">
        <v>4973</v>
      </c>
      <c r="I15" s="185">
        <f t="shared" si="0"/>
        <v>2237</v>
      </c>
      <c r="J15" s="174">
        <f t="shared" si="1"/>
        <v>85</v>
      </c>
      <c r="K15" s="174">
        <f t="shared" si="2"/>
        <v>402</v>
      </c>
      <c r="L15" s="174">
        <f t="shared" si="3"/>
        <v>100</v>
      </c>
      <c r="M15" s="174">
        <f t="shared" si="4"/>
        <v>89</v>
      </c>
      <c r="N15" s="174">
        <f t="shared" si="5"/>
        <v>492</v>
      </c>
    </row>
    <row r="16" spans="2:14">
      <c r="B16" s="174">
        <v>14</v>
      </c>
      <c r="C16" s="174" t="s">
        <v>383</v>
      </c>
      <c r="D16" s="174" t="s">
        <v>395</v>
      </c>
      <c r="E16" s="174" t="s">
        <v>399</v>
      </c>
      <c r="F16" s="175">
        <v>43.193885000000002</v>
      </c>
      <c r="G16" s="175">
        <v>10.374421999999999</v>
      </c>
      <c r="H16" s="176">
        <v>6281</v>
      </c>
      <c r="I16" s="185">
        <f t="shared" si="0"/>
        <v>2826</v>
      </c>
      <c r="J16" s="174">
        <f t="shared" si="1"/>
        <v>107</v>
      </c>
      <c r="K16" s="174">
        <f t="shared" si="2"/>
        <v>508</v>
      </c>
      <c r="L16" s="174">
        <f t="shared" si="3"/>
        <v>127</v>
      </c>
      <c r="M16" s="174">
        <f t="shared" si="4"/>
        <v>113</v>
      </c>
      <c r="N16" s="174">
        <f t="shared" si="5"/>
        <v>621</v>
      </c>
    </row>
    <row r="17" spans="2:14">
      <c r="B17" s="174">
        <v>15</v>
      </c>
      <c r="C17" s="174" t="s">
        <v>383</v>
      </c>
      <c r="D17" s="174" t="s">
        <v>395</v>
      </c>
      <c r="E17" s="174" t="s">
        <v>400</v>
      </c>
      <c r="F17" s="175">
        <v>43.476168000000001</v>
      </c>
      <c r="G17" s="175">
        <v>11.354794999999999</v>
      </c>
      <c r="H17" s="176">
        <v>43532</v>
      </c>
      <c r="I17" s="185">
        <f t="shared" si="0"/>
        <v>19589</v>
      </c>
      <c r="J17" s="174">
        <f t="shared" si="1"/>
        <v>744</v>
      </c>
      <c r="K17" s="174">
        <f t="shared" si="2"/>
        <v>3526</v>
      </c>
      <c r="L17" s="174">
        <f t="shared" si="3"/>
        <v>881</v>
      </c>
      <c r="M17" s="174">
        <f t="shared" si="4"/>
        <v>783</v>
      </c>
      <c r="N17" s="174">
        <f t="shared" si="5"/>
        <v>4309</v>
      </c>
    </row>
    <row r="18" spans="2:14">
      <c r="B18" s="174">
        <v>16</v>
      </c>
      <c r="C18" s="174" t="s">
        <v>383</v>
      </c>
      <c r="D18" s="174" t="s">
        <v>395</v>
      </c>
      <c r="E18" s="174" t="s">
        <v>401</v>
      </c>
      <c r="F18" s="175">
        <v>43.257916000000002</v>
      </c>
      <c r="G18" s="175">
        <v>11.459249</v>
      </c>
      <c r="H18" s="176">
        <v>5933</v>
      </c>
      <c r="I18" s="185">
        <f t="shared" si="0"/>
        <v>2669</v>
      </c>
      <c r="J18" s="174">
        <f t="shared" si="1"/>
        <v>101</v>
      </c>
      <c r="K18" s="174">
        <f t="shared" si="2"/>
        <v>480</v>
      </c>
      <c r="L18" s="174">
        <f t="shared" si="3"/>
        <v>120</v>
      </c>
      <c r="M18" s="174">
        <f t="shared" si="4"/>
        <v>106</v>
      </c>
      <c r="N18" s="174">
        <f t="shared" si="5"/>
        <v>587</v>
      </c>
    </row>
    <row r="19" spans="2:14">
      <c r="B19" s="174">
        <v>17</v>
      </c>
      <c r="C19" s="174" t="s">
        <v>402</v>
      </c>
      <c r="D19" s="174" t="s">
        <v>403</v>
      </c>
      <c r="E19" s="174" t="s">
        <v>404</v>
      </c>
      <c r="F19" s="175">
        <v>45.577385999999997</v>
      </c>
      <c r="G19" s="175">
        <v>9.5223940000000002</v>
      </c>
      <c r="H19" s="176">
        <v>26595</v>
      </c>
      <c r="I19" s="185">
        <f t="shared" si="0"/>
        <v>11967</v>
      </c>
      <c r="J19" s="174">
        <f t="shared" si="1"/>
        <v>454</v>
      </c>
      <c r="K19" s="174">
        <f t="shared" si="2"/>
        <v>2154</v>
      </c>
      <c r="L19" s="174">
        <f t="shared" si="3"/>
        <v>538</v>
      </c>
      <c r="M19" s="174">
        <f t="shared" si="4"/>
        <v>478</v>
      </c>
      <c r="N19" s="174">
        <f t="shared" si="5"/>
        <v>2632</v>
      </c>
    </row>
    <row r="20" spans="2:14">
      <c r="B20" s="174">
        <v>18</v>
      </c>
      <c r="C20" s="174" t="s">
        <v>402</v>
      </c>
      <c r="D20" s="174" t="s">
        <v>403</v>
      </c>
      <c r="E20" s="174" t="s">
        <v>405</v>
      </c>
      <c r="F20" s="175">
        <v>45.914167999999997</v>
      </c>
      <c r="G20" s="175">
        <v>8.3685770000000002</v>
      </c>
      <c r="H20" s="176">
        <v>14319</v>
      </c>
      <c r="I20" s="185">
        <f t="shared" si="0"/>
        <v>6443</v>
      </c>
      <c r="J20" s="174">
        <f t="shared" si="1"/>
        <v>244</v>
      </c>
      <c r="K20" s="174">
        <f t="shared" si="2"/>
        <v>1159</v>
      </c>
      <c r="L20" s="174">
        <f t="shared" si="3"/>
        <v>289</v>
      </c>
      <c r="M20" s="174">
        <f t="shared" si="4"/>
        <v>257</v>
      </c>
      <c r="N20" s="174">
        <f t="shared" si="5"/>
        <v>1417</v>
      </c>
    </row>
    <row r="21" spans="2:14">
      <c r="B21" s="174">
        <v>19</v>
      </c>
      <c r="C21" s="174" t="s">
        <v>402</v>
      </c>
      <c r="D21" s="174" t="s">
        <v>403</v>
      </c>
      <c r="E21" s="174" t="s">
        <v>406</v>
      </c>
      <c r="F21" s="175">
        <v>45.537578000000003</v>
      </c>
      <c r="G21" s="175">
        <v>9.5238499999999995</v>
      </c>
      <c r="H21" s="176">
        <v>23676</v>
      </c>
      <c r="I21" s="185">
        <f t="shared" si="0"/>
        <v>10654</v>
      </c>
      <c r="J21" s="174">
        <f t="shared" si="1"/>
        <v>404</v>
      </c>
      <c r="K21" s="174">
        <f t="shared" si="2"/>
        <v>1917</v>
      </c>
      <c r="L21" s="174">
        <f t="shared" si="3"/>
        <v>479</v>
      </c>
      <c r="M21" s="174">
        <f t="shared" si="4"/>
        <v>426</v>
      </c>
      <c r="N21" s="174">
        <f t="shared" si="5"/>
        <v>2343</v>
      </c>
    </row>
    <row r="22" spans="2:14">
      <c r="B22" s="174">
        <v>20</v>
      </c>
      <c r="C22" s="174" t="s">
        <v>402</v>
      </c>
      <c r="D22" s="174" t="s">
        <v>403</v>
      </c>
      <c r="E22" s="174" t="s">
        <v>407</v>
      </c>
      <c r="F22" s="175">
        <v>45.537204000000003</v>
      </c>
      <c r="G22" s="175">
        <v>9.5344049999999996</v>
      </c>
      <c r="H22" s="176">
        <v>412543</v>
      </c>
      <c r="I22" s="185">
        <f t="shared" si="0"/>
        <v>185644</v>
      </c>
      <c r="J22" s="174">
        <f t="shared" si="1"/>
        <v>7054</v>
      </c>
      <c r="K22" s="174">
        <f t="shared" si="2"/>
        <v>33415</v>
      </c>
      <c r="L22" s="174">
        <f t="shared" si="3"/>
        <v>8353</v>
      </c>
      <c r="M22" s="174">
        <f t="shared" si="4"/>
        <v>7425</v>
      </c>
      <c r="N22" s="174">
        <f t="shared" si="5"/>
        <v>40841</v>
      </c>
    </row>
    <row r="23" spans="2:14">
      <c r="B23" s="174">
        <v>21</v>
      </c>
      <c r="C23" s="174" t="s">
        <v>402</v>
      </c>
      <c r="D23" s="174" t="s">
        <v>403</v>
      </c>
      <c r="E23" s="174" t="s">
        <v>408</v>
      </c>
      <c r="F23" s="175">
        <v>45.536320000000003</v>
      </c>
      <c r="G23" s="175">
        <v>9.5618459999999992</v>
      </c>
      <c r="H23" s="176">
        <v>8142</v>
      </c>
      <c r="I23" s="185">
        <f t="shared" si="0"/>
        <v>3663</v>
      </c>
      <c r="J23" s="174">
        <f t="shared" si="1"/>
        <v>139</v>
      </c>
      <c r="K23" s="174">
        <f t="shared" si="2"/>
        <v>659</v>
      </c>
      <c r="L23" s="174">
        <f t="shared" si="3"/>
        <v>164</v>
      </c>
      <c r="M23" s="174">
        <f t="shared" si="4"/>
        <v>146</v>
      </c>
      <c r="N23" s="174">
        <f t="shared" si="5"/>
        <v>805</v>
      </c>
    </row>
    <row r="24" spans="2:14">
      <c r="B24" s="174">
        <v>22</v>
      </c>
      <c r="C24" s="174" t="s">
        <v>402</v>
      </c>
      <c r="D24" s="174" t="s">
        <v>403</v>
      </c>
      <c r="E24" s="174" t="s">
        <v>409</v>
      </c>
      <c r="F24" s="175">
        <v>45.768433999999999</v>
      </c>
      <c r="G24" s="175">
        <v>8.4163350000000001</v>
      </c>
      <c r="H24" s="176">
        <v>6871</v>
      </c>
      <c r="I24" s="185">
        <f t="shared" si="0"/>
        <v>3091</v>
      </c>
      <c r="J24" s="174">
        <f t="shared" si="1"/>
        <v>117</v>
      </c>
      <c r="K24" s="174">
        <f t="shared" si="2"/>
        <v>556</v>
      </c>
      <c r="L24" s="174">
        <f t="shared" si="3"/>
        <v>139</v>
      </c>
      <c r="M24" s="174">
        <f t="shared" si="4"/>
        <v>123</v>
      </c>
      <c r="N24" s="174">
        <f t="shared" si="5"/>
        <v>680</v>
      </c>
    </row>
    <row r="25" spans="2:14">
      <c r="B25" s="174">
        <v>23</v>
      </c>
      <c r="C25" s="174" t="s">
        <v>402</v>
      </c>
      <c r="D25" s="174" t="s">
        <v>403</v>
      </c>
      <c r="E25" s="174" t="s">
        <v>410</v>
      </c>
      <c r="F25" s="175">
        <v>45.718000000000004</v>
      </c>
      <c r="G25" s="175">
        <v>8.5136190000000003</v>
      </c>
      <c r="H25" s="176">
        <v>11641</v>
      </c>
      <c r="I25" s="185">
        <f t="shared" si="0"/>
        <v>5238</v>
      </c>
      <c r="J25" s="174">
        <f t="shared" si="1"/>
        <v>199</v>
      </c>
      <c r="K25" s="174">
        <f t="shared" si="2"/>
        <v>942</v>
      </c>
      <c r="L25" s="174">
        <f t="shared" si="3"/>
        <v>235</v>
      </c>
      <c r="M25" s="174">
        <f t="shared" si="4"/>
        <v>209</v>
      </c>
      <c r="N25" s="174">
        <f t="shared" si="5"/>
        <v>1152</v>
      </c>
    </row>
    <row r="26" spans="2:14">
      <c r="B26" s="174">
        <v>24</v>
      </c>
      <c r="C26" s="174" t="s">
        <v>402</v>
      </c>
      <c r="D26" s="174" t="s">
        <v>403</v>
      </c>
      <c r="E26" s="174" t="s">
        <v>411</v>
      </c>
      <c r="F26" s="175">
        <v>45.524320000000003</v>
      </c>
      <c r="G26" s="175">
        <v>9.5260099999999994</v>
      </c>
      <c r="H26" s="176">
        <v>25799</v>
      </c>
      <c r="I26" s="185">
        <f t="shared" si="0"/>
        <v>11609</v>
      </c>
      <c r="J26" s="174">
        <f t="shared" si="1"/>
        <v>441</v>
      </c>
      <c r="K26" s="174">
        <f t="shared" si="2"/>
        <v>2089</v>
      </c>
      <c r="L26" s="174">
        <f t="shared" si="3"/>
        <v>522</v>
      </c>
      <c r="M26" s="174">
        <f t="shared" si="4"/>
        <v>464</v>
      </c>
      <c r="N26" s="174">
        <f t="shared" si="5"/>
        <v>2553</v>
      </c>
    </row>
    <row r="27" spans="2:14">
      <c r="B27" s="174">
        <v>25</v>
      </c>
      <c r="C27" s="174" t="s">
        <v>402</v>
      </c>
      <c r="D27" s="174" t="s">
        <v>403</v>
      </c>
      <c r="E27" s="174" t="s">
        <v>412</v>
      </c>
      <c r="F27" s="175">
        <v>45.544449999999998</v>
      </c>
      <c r="G27" s="175">
        <v>9.5115400000000001</v>
      </c>
      <c r="H27" s="176">
        <v>23101</v>
      </c>
      <c r="I27" s="185">
        <f t="shared" si="0"/>
        <v>10395</v>
      </c>
      <c r="J27" s="174">
        <f t="shared" si="1"/>
        <v>395</v>
      </c>
      <c r="K27" s="174">
        <f t="shared" si="2"/>
        <v>1871</v>
      </c>
      <c r="L27" s="174">
        <f t="shared" si="3"/>
        <v>467</v>
      </c>
      <c r="M27" s="174">
        <f t="shared" si="4"/>
        <v>415</v>
      </c>
      <c r="N27" s="174">
        <f t="shared" si="5"/>
        <v>2286</v>
      </c>
    </row>
    <row r="28" spans="2:14">
      <c r="B28" s="174">
        <v>26</v>
      </c>
      <c r="C28" s="174" t="s">
        <v>402</v>
      </c>
      <c r="D28" s="174" t="s">
        <v>403</v>
      </c>
      <c r="E28" s="174" t="s">
        <v>413</v>
      </c>
      <c r="F28" s="175">
        <v>45.461587999999999</v>
      </c>
      <c r="G28" s="175">
        <v>8.5171419999999998</v>
      </c>
      <c r="H28" s="176">
        <v>16240</v>
      </c>
      <c r="I28" s="185">
        <f t="shared" si="0"/>
        <v>7308</v>
      </c>
      <c r="J28" s="174">
        <f t="shared" si="1"/>
        <v>277</v>
      </c>
      <c r="K28" s="174">
        <f t="shared" si="2"/>
        <v>1315</v>
      </c>
      <c r="L28" s="174">
        <f t="shared" si="3"/>
        <v>328</v>
      </c>
      <c r="M28" s="174">
        <f t="shared" si="4"/>
        <v>292</v>
      </c>
      <c r="N28" s="174">
        <f t="shared" si="5"/>
        <v>1607</v>
      </c>
    </row>
    <row r="29" spans="2:14">
      <c r="B29" s="174">
        <v>27</v>
      </c>
      <c r="C29" s="174" t="s">
        <v>402</v>
      </c>
      <c r="D29" s="174" t="s">
        <v>403</v>
      </c>
      <c r="E29" s="174" t="s">
        <v>414</v>
      </c>
      <c r="F29" s="175">
        <v>45.890801000000003</v>
      </c>
      <c r="G29" s="175">
        <v>9.7993159999999992</v>
      </c>
      <c r="H29" s="176">
        <v>9206</v>
      </c>
      <c r="I29" s="185">
        <f t="shared" si="0"/>
        <v>4142</v>
      </c>
      <c r="J29" s="174">
        <f t="shared" si="1"/>
        <v>157</v>
      </c>
      <c r="K29" s="174">
        <f t="shared" si="2"/>
        <v>745</v>
      </c>
      <c r="L29" s="174">
        <f t="shared" si="3"/>
        <v>186</v>
      </c>
      <c r="M29" s="174">
        <f t="shared" si="4"/>
        <v>165</v>
      </c>
      <c r="N29" s="174">
        <f t="shared" si="5"/>
        <v>911</v>
      </c>
    </row>
    <row r="30" spans="2:14">
      <c r="B30" s="174">
        <v>28</v>
      </c>
      <c r="C30" s="174" t="s">
        <v>402</v>
      </c>
      <c r="D30" s="174" t="s">
        <v>403</v>
      </c>
      <c r="E30" s="174" t="s">
        <v>415</v>
      </c>
      <c r="F30" s="175">
        <v>45.465110000000003</v>
      </c>
      <c r="G30" s="175">
        <v>8.7816229999999997</v>
      </c>
      <c r="H30" s="176">
        <v>11258</v>
      </c>
      <c r="I30" s="185">
        <f t="shared" si="0"/>
        <v>5066</v>
      </c>
      <c r="J30" s="174">
        <f t="shared" si="1"/>
        <v>192</v>
      </c>
      <c r="K30" s="174">
        <f t="shared" si="2"/>
        <v>911</v>
      </c>
      <c r="L30" s="174">
        <f t="shared" si="3"/>
        <v>227</v>
      </c>
      <c r="M30" s="174">
        <f t="shared" si="4"/>
        <v>202</v>
      </c>
      <c r="N30" s="174">
        <f t="shared" si="5"/>
        <v>1114</v>
      </c>
    </row>
    <row r="31" spans="2:14">
      <c r="B31" s="174">
        <v>29</v>
      </c>
      <c r="C31" s="174" t="s">
        <v>402</v>
      </c>
      <c r="D31" s="174" t="s">
        <v>403</v>
      </c>
      <c r="E31" s="174" t="s">
        <v>416</v>
      </c>
      <c r="F31" s="175">
        <v>45.521090000000001</v>
      </c>
      <c r="G31" s="175">
        <v>9.5798799999999993</v>
      </c>
      <c r="H31" s="176">
        <v>8621</v>
      </c>
      <c r="I31" s="185">
        <f t="shared" si="0"/>
        <v>3879</v>
      </c>
      <c r="J31" s="174">
        <f t="shared" si="1"/>
        <v>147</v>
      </c>
      <c r="K31" s="174">
        <f t="shared" si="2"/>
        <v>698</v>
      </c>
      <c r="L31" s="174">
        <f t="shared" si="3"/>
        <v>174</v>
      </c>
      <c r="M31" s="174">
        <f t="shared" si="4"/>
        <v>155</v>
      </c>
      <c r="N31" s="174">
        <f t="shared" si="5"/>
        <v>853</v>
      </c>
    </row>
    <row r="32" spans="2:14">
      <c r="B32" s="174">
        <v>30</v>
      </c>
      <c r="C32" s="174" t="s">
        <v>402</v>
      </c>
      <c r="D32" s="174" t="s">
        <v>403</v>
      </c>
      <c r="E32" s="174" t="s">
        <v>417</v>
      </c>
      <c r="F32" s="175">
        <v>45.635359999999999</v>
      </c>
      <c r="G32" s="175">
        <v>8.7518499999999992</v>
      </c>
      <c r="H32" s="176">
        <v>7467</v>
      </c>
      <c r="I32" s="185">
        <f t="shared" si="0"/>
        <v>3360</v>
      </c>
      <c r="J32" s="174">
        <f t="shared" si="1"/>
        <v>127</v>
      </c>
      <c r="K32" s="174">
        <f t="shared" si="2"/>
        <v>604</v>
      </c>
      <c r="L32" s="174">
        <f t="shared" si="3"/>
        <v>151</v>
      </c>
      <c r="M32" s="174">
        <f t="shared" si="4"/>
        <v>134</v>
      </c>
      <c r="N32" s="174">
        <f t="shared" si="5"/>
        <v>739</v>
      </c>
    </row>
    <row r="33" spans="2:18">
      <c r="B33" s="174">
        <v>31</v>
      </c>
      <c r="C33" s="174" t="s">
        <v>402</v>
      </c>
      <c r="D33" s="174" t="s">
        <v>403</v>
      </c>
      <c r="E33" s="174" t="s">
        <v>418</v>
      </c>
      <c r="F33" s="175">
        <v>45.968021999999998</v>
      </c>
      <c r="G33" s="175">
        <v>9.0653780000000008</v>
      </c>
      <c r="H33" s="176">
        <v>17065</v>
      </c>
      <c r="I33" s="185">
        <f t="shared" si="0"/>
        <v>7679</v>
      </c>
      <c r="J33" s="174">
        <f t="shared" si="1"/>
        <v>291</v>
      </c>
      <c r="K33" s="174">
        <f t="shared" si="2"/>
        <v>1382</v>
      </c>
      <c r="L33" s="174">
        <f t="shared" si="3"/>
        <v>345</v>
      </c>
      <c r="M33" s="174">
        <f t="shared" si="4"/>
        <v>307</v>
      </c>
      <c r="N33" s="174">
        <f t="shared" si="5"/>
        <v>1689</v>
      </c>
    </row>
    <row r="34" spans="2:18">
      <c r="B34" s="174">
        <v>32</v>
      </c>
      <c r="C34" s="174" t="s">
        <v>402</v>
      </c>
      <c r="D34" s="174" t="s">
        <v>403</v>
      </c>
      <c r="E34" s="174" t="s">
        <v>419</v>
      </c>
      <c r="F34" s="175">
        <v>45.968021999999998</v>
      </c>
      <c r="G34" s="175">
        <v>9.0653780000000008</v>
      </c>
      <c r="H34" s="176">
        <v>6850</v>
      </c>
      <c r="I34" s="185">
        <f t="shared" si="0"/>
        <v>3082</v>
      </c>
      <c r="J34" s="174">
        <f t="shared" si="1"/>
        <v>117</v>
      </c>
      <c r="K34" s="174">
        <f t="shared" si="2"/>
        <v>554</v>
      </c>
      <c r="L34" s="174">
        <f t="shared" si="3"/>
        <v>138</v>
      </c>
      <c r="M34" s="174">
        <f t="shared" si="4"/>
        <v>123</v>
      </c>
      <c r="N34" s="174">
        <f t="shared" si="5"/>
        <v>678</v>
      </c>
    </row>
    <row r="35" spans="2:18">
      <c r="B35" s="174">
        <v>33</v>
      </c>
      <c r="C35" s="174" t="s">
        <v>402</v>
      </c>
      <c r="D35" s="174" t="s">
        <v>403</v>
      </c>
      <c r="E35" s="174" t="s">
        <v>420</v>
      </c>
      <c r="F35" s="175">
        <v>45.599131</v>
      </c>
      <c r="G35" s="175">
        <v>8.4739679999999993</v>
      </c>
      <c r="H35" s="176">
        <v>10209</v>
      </c>
      <c r="I35" s="185">
        <f t="shared" si="0"/>
        <v>4594</v>
      </c>
      <c r="J35" s="174">
        <f t="shared" si="1"/>
        <v>174</v>
      </c>
      <c r="K35" s="174">
        <f t="shared" si="2"/>
        <v>826</v>
      </c>
      <c r="L35" s="174">
        <f t="shared" si="3"/>
        <v>206</v>
      </c>
      <c r="M35" s="174">
        <f t="shared" si="4"/>
        <v>183</v>
      </c>
      <c r="N35" s="174">
        <f t="shared" si="5"/>
        <v>1010</v>
      </c>
    </row>
    <row r="36" spans="2:18">
      <c r="B36" s="174">
        <v>34</v>
      </c>
      <c r="C36" s="174" t="s">
        <v>402</v>
      </c>
      <c r="D36" s="174" t="s">
        <v>403</v>
      </c>
      <c r="E36" s="174" t="s">
        <v>421</v>
      </c>
      <c r="F36" s="175">
        <v>45.892406999999999</v>
      </c>
      <c r="G36" s="175">
        <v>8.8006440000000001</v>
      </c>
      <c r="H36" s="176">
        <v>11895</v>
      </c>
      <c r="I36" s="185">
        <f t="shared" si="0"/>
        <v>5352</v>
      </c>
      <c r="J36" s="174">
        <f t="shared" si="1"/>
        <v>203</v>
      </c>
      <c r="K36" s="174">
        <f t="shared" si="2"/>
        <v>963</v>
      </c>
      <c r="L36" s="174">
        <f t="shared" si="3"/>
        <v>240</v>
      </c>
      <c r="M36" s="174">
        <f t="shared" si="4"/>
        <v>214</v>
      </c>
      <c r="N36" s="174">
        <f t="shared" si="5"/>
        <v>1177</v>
      </c>
    </row>
    <row r="37" spans="2:18">
      <c r="B37" s="174">
        <v>35</v>
      </c>
      <c r="C37" s="174" t="s">
        <v>402</v>
      </c>
      <c r="D37" s="174" t="s">
        <v>403</v>
      </c>
      <c r="E37" s="174" t="s">
        <v>422</v>
      </c>
      <c r="F37" s="175">
        <v>45.892406999999999</v>
      </c>
      <c r="G37" s="175">
        <v>8.8006440000000001</v>
      </c>
      <c r="H37" s="176">
        <v>21477</v>
      </c>
      <c r="I37" s="185">
        <f t="shared" si="0"/>
        <v>9664</v>
      </c>
      <c r="J37" s="174">
        <f t="shared" si="1"/>
        <v>367</v>
      </c>
      <c r="K37" s="174">
        <f t="shared" si="2"/>
        <v>1739</v>
      </c>
      <c r="L37" s="174">
        <f t="shared" si="3"/>
        <v>434</v>
      </c>
      <c r="M37" s="174">
        <f t="shared" si="4"/>
        <v>386</v>
      </c>
      <c r="N37" s="174">
        <f t="shared" si="5"/>
        <v>2126</v>
      </c>
    </row>
    <row r="38" spans="2:18">
      <c r="B38" s="174">
        <v>36</v>
      </c>
      <c r="C38" s="174" t="s">
        <v>402</v>
      </c>
      <c r="D38" s="174" t="s">
        <v>423</v>
      </c>
      <c r="E38" s="174" t="s">
        <v>424</v>
      </c>
      <c r="F38" s="175">
        <v>44.986690000000003</v>
      </c>
      <c r="G38" s="175">
        <v>9.1880480000000002</v>
      </c>
      <c r="H38" s="176">
        <v>5683</v>
      </c>
      <c r="I38" s="185">
        <f t="shared" si="0"/>
        <v>2557</v>
      </c>
      <c r="J38" s="174">
        <f t="shared" si="1"/>
        <v>97</v>
      </c>
      <c r="K38" s="174">
        <f t="shared" si="2"/>
        <v>460</v>
      </c>
      <c r="L38" s="174">
        <f t="shared" si="3"/>
        <v>115</v>
      </c>
      <c r="M38" s="174">
        <f t="shared" si="4"/>
        <v>102</v>
      </c>
      <c r="N38" s="174">
        <f t="shared" si="5"/>
        <v>562</v>
      </c>
    </row>
    <row r="39" spans="2:18">
      <c r="B39" s="174">
        <v>37</v>
      </c>
      <c r="C39" s="174" t="s">
        <v>402</v>
      </c>
      <c r="D39" s="174" t="s">
        <v>423</v>
      </c>
      <c r="E39" s="174" t="s">
        <v>425</v>
      </c>
      <c r="F39" s="175">
        <v>45.241494000000003</v>
      </c>
      <c r="G39" s="175">
        <v>8.5899760000000001</v>
      </c>
      <c r="H39" s="176">
        <v>8676</v>
      </c>
      <c r="I39" s="185">
        <f t="shared" si="0"/>
        <v>3904</v>
      </c>
      <c r="J39" s="174">
        <f t="shared" si="1"/>
        <v>148</v>
      </c>
      <c r="K39" s="174">
        <f t="shared" si="2"/>
        <v>702</v>
      </c>
      <c r="L39" s="174">
        <f t="shared" si="3"/>
        <v>175</v>
      </c>
      <c r="M39" s="174">
        <f t="shared" si="4"/>
        <v>156</v>
      </c>
      <c r="N39" s="174">
        <f t="shared" si="5"/>
        <v>858</v>
      </c>
    </row>
    <row r="40" spans="2:18">
      <c r="B40" s="174">
        <v>38</v>
      </c>
      <c r="C40" s="174" t="s">
        <v>402</v>
      </c>
      <c r="D40" s="174" t="s">
        <v>423</v>
      </c>
      <c r="E40" s="174" t="s">
        <v>426</v>
      </c>
      <c r="F40" s="175">
        <v>45.284878999999997</v>
      </c>
      <c r="G40" s="175">
        <v>9.2384799999999991</v>
      </c>
      <c r="H40" s="176">
        <v>5732</v>
      </c>
      <c r="I40" s="185">
        <f t="shared" si="0"/>
        <v>2579</v>
      </c>
      <c r="J40" s="174">
        <f t="shared" si="1"/>
        <v>98</v>
      </c>
      <c r="K40" s="174">
        <f t="shared" si="2"/>
        <v>464</v>
      </c>
      <c r="L40" s="174">
        <f t="shared" si="3"/>
        <v>116</v>
      </c>
      <c r="M40" s="174">
        <f t="shared" si="4"/>
        <v>103</v>
      </c>
      <c r="N40" s="174">
        <f t="shared" si="5"/>
        <v>567</v>
      </c>
    </row>
    <row r="41" spans="2:18">
      <c r="B41" s="174">
        <v>39</v>
      </c>
      <c r="C41" s="174" t="s">
        <v>402</v>
      </c>
      <c r="D41" s="174" t="s">
        <v>423</v>
      </c>
      <c r="E41" s="174" t="s">
        <v>427</v>
      </c>
      <c r="F41" s="175">
        <v>45.063580999999999</v>
      </c>
      <c r="G41" s="175">
        <v>9.4070110000000007</v>
      </c>
      <c r="H41" s="176">
        <v>9352</v>
      </c>
      <c r="I41" s="185">
        <f t="shared" si="0"/>
        <v>4208</v>
      </c>
      <c r="J41" s="174">
        <f t="shared" si="1"/>
        <v>159</v>
      </c>
      <c r="K41" s="174">
        <f t="shared" si="2"/>
        <v>757</v>
      </c>
      <c r="L41" s="174">
        <f t="shared" si="3"/>
        <v>189</v>
      </c>
      <c r="M41" s="174">
        <f t="shared" si="4"/>
        <v>168</v>
      </c>
      <c r="N41" s="174">
        <f t="shared" si="5"/>
        <v>925</v>
      </c>
    </row>
    <row r="42" spans="2:18">
      <c r="B42" s="174">
        <v>40</v>
      </c>
      <c r="C42" s="174" t="s">
        <v>402</v>
      </c>
      <c r="D42" s="174" t="s">
        <v>423</v>
      </c>
      <c r="E42" s="174" t="s">
        <v>428</v>
      </c>
      <c r="F42" s="175">
        <v>45.064487999999997</v>
      </c>
      <c r="G42" s="175">
        <v>9.4082519999999992</v>
      </c>
      <c r="H42" s="176">
        <v>65841</v>
      </c>
      <c r="I42" s="185">
        <f t="shared" si="0"/>
        <v>29628</v>
      </c>
      <c r="J42" s="174">
        <f t="shared" si="1"/>
        <v>1125</v>
      </c>
      <c r="K42" s="174">
        <f t="shared" si="2"/>
        <v>5333</v>
      </c>
      <c r="L42" s="174">
        <f t="shared" si="3"/>
        <v>1333</v>
      </c>
      <c r="M42" s="174">
        <f t="shared" si="4"/>
        <v>1185</v>
      </c>
      <c r="N42" s="174">
        <f t="shared" si="5"/>
        <v>6518</v>
      </c>
    </row>
    <row r="43" spans="2:18">
      <c r="B43" s="174">
        <v>41</v>
      </c>
      <c r="C43" s="174" t="s">
        <v>429</v>
      </c>
      <c r="D43" s="174" t="s">
        <v>430</v>
      </c>
      <c r="E43" s="174" t="s">
        <v>431</v>
      </c>
      <c r="F43" s="175">
        <v>41.876578000000002</v>
      </c>
      <c r="G43" s="175">
        <v>3.956153</v>
      </c>
      <c r="H43" s="176">
        <v>57627</v>
      </c>
      <c r="I43" s="185">
        <f t="shared" si="0"/>
        <v>25932</v>
      </c>
      <c r="J43" s="174">
        <f t="shared" si="1"/>
        <v>985</v>
      </c>
      <c r="K43" s="174">
        <f t="shared" si="2"/>
        <v>4667</v>
      </c>
      <c r="L43" s="174">
        <f t="shared" si="3"/>
        <v>1166</v>
      </c>
      <c r="M43" s="174">
        <f t="shared" si="4"/>
        <v>1037</v>
      </c>
      <c r="N43" s="174">
        <f t="shared" si="5"/>
        <v>5705</v>
      </c>
      <c r="R43" s="177"/>
    </row>
    <row r="44" spans="2:18">
      <c r="B44" s="174">
        <v>42</v>
      </c>
      <c r="C44" s="174" t="s">
        <v>429</v>
      </c>
      <c r="D44" s="174" t="s">
        <v>430</v>
      </c>
      <c r="E44" s="174" t="s">
        <v>432</v>
      </c>
      <c r="F44" s="175">
        <v>41.875487</v>
      </c>
      <c r="G44" s="175">
        <v>3.9301689999999998</v>
      </c>
      <c r="H44" s="176">
        <v>25757</v>
      </c>
      <c r="I44" s="185">
        <f t="shared" si="0"/>
        <v>11590</v>
      </c>
      <c r="J44" s="174">
        <f t="shared" si="1"/>
        <v>440</v>
      </c>
      <c r="K44" s="174">
        <f t="shared" si="2"/>
        <v>2086</v>
      </c>
      <c r="L44" s="174">
        <f t="shared" si="3"/>
        <v>521</v>
      </c>
      <c r="M44" s="174">
        <f t="shared" si="4"/>
        <v>463</v>
      </c>
      <c r="N44" s="174">
        <f t="shared" si="5"/>
        <v>2549</v>
      </c>
    </row>
    <row r="45" spans="2:18">
      <c r="B45" s="174">
        <v>43</v>
      </c>
      <c r="C45" s="174" t="s">
        <v>429</v>
      </c>
      <c r="D45" s="174" t="s">
        <v>430</v>
      </c>
      <c r="E45" s="174" t="s">
        <v>433</v>
      </c>
      <c r="F45" s="175">
        <v>41.875487</v>
      </c>
      <c r="G45" s="175">
        <v>3.9301689999999998</v>
      </c>
      <c r="H45" s="176">
        <v>21104</v>
      </c>
      <c r="I45" s="185">
        <f t="shared" si="0"/>
        <v>9496</v>
      </c>
      <c r="J45" s="174">
        <f t="shared" si="1"/>
        <v>360</v>
      </c>
      <c r="K45" s="174">
        <f t="shared" si="2"/>
        <v>1709</v>
      </c>
      <c r="L45" s="174">
        <f t="shared" si="3"/>
        <v>427</v>
      </c>
      <c r="M45" s="174">
        <f t="shared" si="4"/>
        <v>379</v>
      </c>
      <c r="N45" s="174">
        <f t="shared" si="5"/>
        <v>2089</v>
      </c>
    </row>
    <row r="46" spans="2:18">
      <c r="B46" s="174">
        <v>44</v>
      </c>
      <c r="C46" s="174" t="s">
        <v>429</v>
      </c>
      <c r="D46" s="174" t="s">
        <v>430</v>
      </c>
      <c r="E46" s="174" t="s">
        <v>434</v>
      </c>
      <c r="F46" s="175">
        <v>41.893939000000003</v>
      </c>
      <c r="G46" s="175">
        <v>3.956153</v>
      </c>
      <c r="H46" s="176">
        <v>8391</v>
      </c>
      <c r="I46" s="185">
        <f t="shared" si="0"/>
        <v>3775</v>
      </c>
      <c r="J46" s="174">
        <f t="shared" si="1"/>
        <v>143</v>
      </c>
      <c r="K46" s="174">
        <f t="shared" si="2"/>
        <v>679</v>
      </c>
      <c r="L46" s="174">
        <f t="shared" si="3"/>
        <v>169</v>
      </c>
      <c r="M46" s="174">
        <f t="shared" si="4"/>
        <v>151</v>
      </c>
      <c r="N46" s="174">
        <f t="shared" si="5"/>
        <v>830</v>
      </c>
    </row>
    <row r="47" spans="2:18">
      <c r="B47" s="174">
        <v>45</v>
      </c>
      <c r="C47" s="174" t="s">
        <v>429</v>
      </c>
      <c r="D47" s="174" t="s">
        <v>435</v>
      </c>
      <c r="E47" s="174" t="s">
        <v>436</v>
      </c>
      <c r="F47" s="175">
        <v>42.079028000000001</v>
      </c>
      <c r="G47" s="175">
        <v>4.1642190000000001</v>
      </c>
      <c r="H47" s="176">
        <v>25828</v>
      </c>
      <c r="I47" s="185">
        <f t="shared" si="0"/>
        <v>11622</v>
      </c>
      <c r="J47" s="174">
        <f t="shared" si="1"/>
        <v>441</v>
      </c>
      <c r="K47" s="174">
        <f t="shared" si="2"/>
        <v>2091</v>
      </c>
      <c r="L47" s="174">
        <f t="shared" si="3"/>
        <v>522</v>
      </c>
      <c r="M47" s="174">
        <f t="shared" si="4"/>
        <v>464</v>
      </c>
      <c r="N47" s="174">
        <f t="shared" si="5"/>
        <v>2556</v>
      </c>
    </row>
    <row r="48" spans="2:18">
      <c r="B48" s="174">
        <v>46</v>
      </c>
      <c r="C48" s="174" t="s">
        <v>429</v>
      </c>
      <c r="D48" s="174" t="s">
        <v>435</v>
      </c>
      <c r="E48" s="174" t="s">
        <v>437</v>
      </c>
      <c r="F48" s="175">
        <v>42.306406000000003</v>
      </c>
      <c r="G48" s="175">
        <v>4.0233059999999998</v>
      </c>
      <c r="H48" s="176">
        <v>18909</v>
      </c>
      <c r="I48" s="185">
        <f t="shared" si="0"/>
        <v>8509</v>
      </c>
      <c r="J48" s="174">
        <f t="shared" si="1"/>
        <v>323</v>
      </c>
      <c r="K48" s="174">
        <f t="shared" si="2"/>
        <v>1531</v>
      </c>
      <c r="L48" s="174">
        <f t="shared" si="3"/>
        <v>382</v>
      </c>
      <c r="M48" s="174">
        <f t="shared" si="4"/>
        <v>340</v>
      </c>
      <c r="N48" s="174">
        <f t="shared" si="5"/>
        <v>1871</v>
      </c>
    </row>
    <row r="49" spans="2:14">
      <c r="B49" s="174">
        <v>47</v>
      </c>
      <c r="C49" s="174" t="s">
        <v>429</v>
      </c>
      <c r="D49" s="174" t="s">
        <v>435</v>
      </c>
      <c r="E49" s="174" t="s">
        <v>438</v>
      </c>
      <c r="F49" s="175">
        <v>42.079028000000001</v>
      </c>
      <c r="G49" s="175">
        <v>4.1642190000000001</v>
      </c>
      <c r="H49" s="176">
        <v>8678</v>
      </c>
      <c r="I49" s="185">
        <f t="shared" si="0"/>
        <v>3905</v>
      </c>
      <c r="J49" s="174">
        <f t="shared" si="1"/>
        <v>148</v>
      </c>
      <c r="K49" s="174">
        <f t="shared" si="2"/>
        <v>702</v>
      </c>
      <c r="L49" s="174">
        <f t="shared" si="3"/>
        <v>175</v>
      </c>
      <c r="M49" s="174">
        <f t="shared" si="4"/>
        <v>156</v>
      </c>
      <c r="N49" s="174">
        <f t="shared" si="5"/>
        <v>859</v>
      </c>
    </row>
    <row r="50" spans="2:14">
      <c r="B50" s="174">
        <v>48</v>
      </c>
      <c r="C50" s="174" t="s">
        <v>429</v>
      </c>
      <c r="D50" s="174" t="s">
        <v>439</v>
      </c>
      <c r="E50" s="174" t="s">
        <v>440</v>
      </c>
      <c r="F50" s="175">
        <v>42.215257000000001</v>
      </c>
      <c r="G50" s="175">
        <v>3.33127</v>
      </c>
      <c r="H50" s="176">
        <v>69794</v>
      </c>
      <c r="I50" s="185">
        <f t="shared" si="0"/>
        <v>31407</v>
      </c>
      <c r="J50" s="174">
        <f t="shared" si="1"/>
        <v>1193</v>
      </c>
      <c r="K50" s="174">
        <f t="shared" si="2"/>
        <v>5653</v>
      </c>
      <c r="L50" s="174">
        <f t="shared" si="3"/>
        <v>1413</v>
      </c>
      <c r="M50" s="174">
        <f t="shared" si="4"/>
        <v>1256</v>
      </c>
      <c r="N50" s="174">
        <f t="shared" si="5"/>
        <v>6909</v>
      </c>
    </row>
    <row r="51" spans="2:14">
      <c r="B51" s="174">
        <v>49</v>
      </c>
      <c r="C51" s="174" t="s">
        <v>429</v>
      </c>
      <c r="D51" s="174" t="s">
        <v>439</v>
      </c>
      <c r="E51" s="174" t="s">
        <v>441</v>
      </c>
      <c r="F51" s="175">
        <v>42.215361999999999</v>
      </c>
      <c r="G51" s="175">
        <v>3.3310240000000002</v>
      </c>
      <c r="H51" s="176">
        <v>19544</v>
      </c>
      <c r="I51" s="185">
        <f t="shared" si="0"/>
        <v>8794</v>
      </c>
      <c r="J51" s="174">
        <f t="shared" si="1"/>
        <v>334</v>
      </c>
      <c r="K51" s="174">
        <f t="shared" si="2"/>
        <v>1582</v>
      </c>
      <c r="L51" s="174">
        <f t="shared" si="3"/>
        <v>395</v>
      </c>
      <c r="M51" s="174">
        <f t="shared" si="4"/>
        <v>351</v>
      </c>
      <c r="N51" s="174">
        <f t="shared" si="5"/>
        <v>1934</v>
      </c>
    </row>
    <row r="52" spans="2:14">
      <c r="B52" s="174">
        <v>50</v>
      </c>
      <c r="C52" s="174" t="s">
        <v>429</v>
      </c>
      <c r="D52" s="174" t="s">
        <v>439</v>
      </c>
      <c r="E52" s="174" t="s">
        <v>442</v>
      </c>
      <c r="F52" s="175">
        <v>42.215257000000001</v>
      </c>
      <c r="G52" s="175">
        <v>3.33127</v>
      </c>
      <c r="H52" s="176">
        <v>22278</v>
      </c>
      <c r="I52" s="185">
        <f t="shared" si="0"/>
        <v>10025</v>
      </c>
      <c r="J52" s="174">
        <f t="shared" si="1"/>
        <v>380</v>
      </c>
      <c r="K52" s="174">
        <f t="shared" si="2"/>
        <v>1804</v>
      </c>
      <c r="L52" s="174">
        <f t="shared" si="3"/>
        <v>451</v>
      </c>
      <c r="M52" s="174">
        <f t="shared" si="4"/>
        <v>401</v>
      </c>
      <c r="N52" s="174">
        <f t="shared" si="5"/>
        <v>2205</v>
      </c>
    </row>
    <row r="53" spans="2:14">
      <c r="B53" s="174">
        <v>51</v>
      </c>
      <c r="C53" s="174" t="s">
        <v>429</v>
      </c>
      <c r="D53" s="174" t="s">
        <v>443</v>
      </c>
      <c r="E53" s="178" t="s">
        <v>444</v>
      </c>
      <c r="F53" s="175">
        <v>42.544603000000002</v>
      </c>
      <c r="G53" s="175">
        <v>3.8002690000000001</v>
      </c>
      <c r="H53" s="176">
        <v>29659</v>
      </c>
      <c r="I53" s="185">
        <f t="shared" si="0"/>
        <v>13346</v>
      </c>
      <c r="J53" s="174">
        <f t="shared" si="1"/>
        <v>507</v>
      </c>
      <c r="K53" s="174">
        <f t="shared" si="2"/>
        <v>2402</v>
      </c>
      <c r="L53" s="174">
        <f t="shared" si="3"/>
        <v>600</v>
      </c>
      <c r="M53" s="174">
        <f t="shared" si="4"/>
        <v>533</v>
      </c>
      <c r="N53" s="174">
        <f t="shared" si="5"/>
        <v>2936</v>
      </c>
    </row>
    <row r="54" spans="2:14">
      <c r="B54" s="174">
        <v>52</v>
      </c>
      <c r="C54" s="174" t="s">
        <v>429</v>
      </c>
      <c r="D54" s="174" t="s">
        <v>443</v>
      </c>
      <c r="E54" s="178" t="s">
        <v>445</v>
      </c>
      <c r="F54" s="175">
        <v>42.922927999999999</v>
      </c>
      <c r="G54" s="175">
        <v>4.3164170000000004</v>
      </c>
      <c r="H54" s="176">
        <v>70647</v>
      </c>
      <c r="I54" s="185">
        <f t="shared" si="0"/>
        <v>31791</v>
      </c>
      <c r="J54" s="174">
        <f t="shared" si="1"/>
        <v>1208</v>
      </c>
      <c r="K54" s="174">
        <f t="shared" si="2"/>
        <v>5722</v>
      </c>
      <c r="L54" s="174">
        <f t="shared" si="3"/>
        <v>1430</v>
      </c>
      <c r="M54" s="174">
        <f t="shared" si="4"/>
        <v>1271</v>
      </c>
      <c r="N54" s="174">
        <f t="shared" si="5"/>
        <v>6994</v>
      </c>
    </row>
    <row r="55" spans="2:14">
      <c r="B55" s="174">
        <v>53</v>
      </c>
      <c r="C55" s="174" t="s">
        <v>429</v>
      </c>
      <c r="D55" s="174" t="s">
        <v>443</v>
      </c>
      <c r="E55" s="174" t="s">
        <v>446</v>
      </c>
      <c r="F55" s="175">
        <v>42.666443999999998</v>
      </c>
      <c r="G55" s="175">
        <v>4.0465559999999998</v>
      </c>
      <c r="H55" s="176">
        <v>10941</v>
      </c>
      <c r="I55" s="185">
        <f t="shared" si="0"/>
        <v>4923</v>
      </c>
      <c r="J55" s="174">
        <f t="shared" si="1"/>
        <v>187</v>
      </c>
      <c r="K55" s="174">
        <f t="shared" si="2"/>
        <v>886</v>
      </c>
      <c r="L55" s="174">
        <f t="shared" si="3"/>
        <v>221</v>
      </c>
      <c r="M55" s="174">
        <f t="shared" si="4"/>
        <v>196</v>
      </c>
      <c r="N55" s="174">
        <f t="shared" si="5"/>
        <v>1083</v>
      </c>
    </row>
    <row r="56" spans="2:14">
      <c r="B56" s="174">
        <v>54</v>
      </c>
      <c r="C56" s="174" t="s">
        <v>429</v>
      </c>
      <c r="D56" s="174" t="s">
        <v>443</v>
      </c>
      <c r="E56" s="174" t="s">
        <v>447</v>
      </c>
      <c r="F56" s="175">
        <v>42.922927999999999</v>
      </c>
      <c r="G56" s="175">
        <v>4.3164170000000004</v>
      </c>
      <c r="H56" s="176">
        <v>11667</v>
      </c>
      <c r="I56" s="185">
        <f t="shared" si="0"/>
        <v>5250</v>
      </c>
      <c r="J56" s="174">
        <f t="shared" si="1"/>
        <v>199</v>
      </c>
      <c r="K56" s="174">
        <f t="shared" si="2"/>
        <v>945</v>
      </c>
      <c r="L56" s="174">
        <f t="shared" si="3"/>
        <v>236</v>
      </c>
      <c r="M56" s="174">
        <f t="shared" si="4"/>
        <v>210</v>
      </c>
      <c r="N56" s="174">
        <f t="shared" si="5"/>
        <v>1155</v>
      </c>
    </row>
    <row r="57" spans="2:14">
      <c r="B57" s="174">
        <v>55</v>
      </c>
      <c r="C57" s="174" t="s">
        <v>429</v>
      </c>
      <c r="D57" s="174" t="s">
        <v>443</v>
      </c>
      <c r="E57" s="174" t="s">
        <v>448</v>
      </c>
      <c r="F57" s="175">
        <v>42.530287000000001</v>
      </c>
      <c r="G57" s="175">
        <v>3.8805730000000001</v>
      </c>
      <c r="H57" s="176">
        <v>3502</v>
      </c>
      <c r="I57" s="185">
        <f t="shared" si="0"/>
        <v>1575</v>
      </c>
      <c r="J57" s="174">
        <f t="shared" si="1"/>
        <v>59</v>
      </c>
      <c r="K57" s="174">
        <f t="shared" si="2"/>
        <v>283</v>
      </c>
      <c r="L57" s="174">
        <f t="shared" si="3"/>
        <v>70</v>
      </c>
      <c r="M57" s="174">
        <f t="shared" si="4"/>
        <v>63</v>
      </c>
      <c r="N57" s="174">
        <f t="shared" si="5"/>
        <v>346</v>
      </c>
    </row>
    <row r="58" spans="2:14">
      <c r="B58" s="174">
        <v>56</v>
      </c>
      <c r="C58" s="174" t="s">
        <v>449</v>
      </c>
      <c r="D58" s="174" t="s">
        <v>450</v>
      </c>
      <c r="E58" s="174" t="s">
        <v>451</v>
      </c>
      <c r="F58" s="175">
        <v>45.346094999999998</v>
      </c>
      <c r="G58" s="175">
        <v>2.0353150000000002</v>
      </c>
      <c r="H58" s="179">
        <v>30887</v>
      </c>
      <c r="I58" s="185">
        <f t="shared" si="0"/>
        <v>13899</v>
      </c>
      <c r="J58" s="174">
        <f t="shared" si="1"/>
        <v>528</v>
      </c>
      <c r="K58" s="174">
        <f t="shared" si="2"/>
        <v>2501</v>
      </c>
      <c r="L58" s="174">
        <f t="shared" si="3"/>
        <v>625</v>
      </c>
      <c r="M58" s="174">
        <f t="shared" si="4"/>
        <v>555</v>
      </c>
      <c r="N58" s="174">
        <f t="shared" si="5"/>
        <v>3057</v>
      </c>
    </row>
    <row r="59" spans="2:14">
      <c r="B59" s="174">
        <v>57</v>
      </c>
      <c r="C59" s="174" t="s">
        <v>449</v>
      </c>
      <c r="D59" s="174" t="s">
        <v>452</v>
      </c>
      <c r="E59" s="174" t="s">
        <v>453</v>
      </c>
      <c r="F59" s="175">
        <v>45.287484999999997</v>
      </c>
      <c r="G59" s="175">
        <v>2.1286</v>
      </c>
      <c r="H59" s="176">
        <v>52877</v>
      </c>
      <c r="I59" s="185">
        <f t="shared" si="0"/>
        <v>23794</v>
      </c>
      <c r="J59" s="174">
        <f t="shared" si="1"/>
        <v>904</v>
      </c>
      <c r="K59" s="174">
        <f t="shared" si="2"/>
        <v>4282</v>
      </c>
      <c r="L59" s="174">
        <f t="shared" si="3"/>
        <v>1070</v>
      </c>
      <c r="M59" s="174">
        <f t="shared" si="4"/>
        <v>951</v>
      </c>
      <c r="N59" s="174">
        <f t="shared" si="5"/>
        <v>5234</v>
      </c>
    </row>
    <row r="60" spans="2:14">
      <c r="B60" s="174">
        <v>58</v>
      </c>
      <c r="C60" s="174" t="s">
        <v>449</v>
      </c>
      <c r="D60" s="174" t="s">
        <v>452</v>
      </c>
      <c r="E60" s="174" t="s">
        <v>454</v>
      </c>
      <c r="F60" s="175">
        <v>45.330730000000003</v>
      </c>
      <c r="G60" s="175">
        <v>2.0836199999999998</v>
      </c>
      <c r="H60" s="176">
        <v>9937</v>
      </c>
      <c r="I60" s="185">
        <f t="shared" si="0"/>
        <v>4471</v>
      </c>
      <c r="J60" s="174">
        <f t="shared" si="1"/>
        <v>169</v>
      </c>
      <c r="K60" s="174">
        <f t="shared" si="2"/>
        <v>804</v>
      </c>
      <c r="L60" s="174">
        <f t="shared" si="3"/>
        <v>201</v>
      </c>
      <c r="M60" s="174">
        <f t="shared" si="4"/>
        <v>178</v>
      </c>
      <c r="N60" s="174">
        <f t="shared" si="5"/>
        <v>983</v>
      </c>
    </row>
    <row r="61" spans="2:14">
      <c r="B61" s="174">
        <v>59</v>
      </c>
      <c r="C61" s="174" t="s">
        <v>449</v>
      </c>
      <c r="D61" s="174" t="s">
        <v>452</v>
      </c>
      <c r="E61" s="174" t="s">
        <v>455</v>
      </c>
      <c r="F61" s="175">
        <v>45.251302000000003</v>
      </c>
      <c r="G61" s="175">
        <v>2.078732</v>
      </c>
      <c r="H61" s="176">
        <v>8594</v>
      </c>
      <c r="I61" s="185">
        <f t="shared" si="0"/>
        <v>3867</v>
      </c>
      <c r="J61" s="174">
        <f t="shared" si="1"/>
        <v>146</v>
      </c>
      <c r="K61" s="174">
        <f t="shared" si="2"/>
        <v>696</v>
      </c>
      <c r="L61" s="174">
        <f t="shared" si="3"/>
        <v>174</v>
      </c>
      <c r="M61" s="174">
        <f t="shared" si="4"/>
        <v>154</v>
      </c>
      <c r="N61" s="174">
        <f t="shared" si="5"/>
        <v>850</v>
      </c>
    </row>
    <row r="62" spans="2:14">
      <c r="B62" s="174">
        <v>60</v>
      </c>
      <c r="C62" s="174" t="s">
        <v>449</v>
      </c>
      <c r="D62" s="174" t="s">
        <v>452</v>
      </c>
      <c r="E62" s="174" t="s">
        <v>456</v>
      </c>
      <c r="F62" s="175">
        <v>45.251309999999997</v>
      </c>
      <c r="G62" s="175">
        <v>2.0787610000000001</v>
      </c>
      <c r="H62" s="176">
        <v>6731</v>
      </c>
      <c r="I62" s="185">
        <f t="shared" si="0"/>
        <v>3028</v>
      </c>
      <c r="J62" s="174">
        <f t="shared" si="1"/>
        <v>115</v>
      </c>
      <c r="K62" s="174">
        <f t="shared" si="2"/>
        <v>545</v>
      </c>
      <c r="L62" s="174">
        <f t="shared" si="3"/>
        <v>136</v>
      </c>
      <c r="M62" s="174">
        <f t="shared" si="4"/>
        <v>121</v>
      </c>
      <c r="N62" s="174">
        <f t="shared" si="5"/>
        <v>666</v>
      </c>
    </row>
    <row r="63" spans="2:14">
      <c r="B63" s="174">
        <v>61</v>
      </c>
      <c r="C63" s="174" t="s">
        <v>449</v>
      </c>
      <c r="D63" s="174" t="s">
        <v>457</v>
      </c>
      <c r="E63" s="174" t="s">
        <v>458</v>
      </c>
      <c r="F63" s="175">
        <v>45.315114999999999</v>
      </c>
      <c r="G63" s="175">
        <v>2.049137</v>
      </c>
      <c r="H63" s="176">
        <v>17821</v>
      </c>
      <c r="I63" s="185">
        <f t="shared" si="0"/>
        <v>8019</v>
      </c>
      <c r="J63" s="174">
        <f t="shared" si="1"/>
        <v>304</v>
      </c>
      <c r="K63" s="174">
        <f t="shared" si="2"/>
        <v>1443</v>
      </c>
      <c r="L63" s="174">
        <f t="shared" si="3"/>
        <v>360</v>
      </c>
      <c r="M63" s="174">
        <f t="shared" si="4"/>
        <v>320</v>
      </c>
      <c r="N63" s="174">
        <f t="shared" si="5"/>
        <v>1764</v>
      </c>
    </row>
    <row r="64" spans="2:14">
      <c r="B64" s="174">
        <v>62</v>
      </c>
      <c r="C64" s="174" t="s">
        <v>449</v>
      </c>
      <c r="D64" s="174" t="s">
        <v>457</v>
      </c>
      <c r="E64" s="174" t="s">
        <v>459</v>
      </c>
      <c r="F64" s="175">
        <v>45.318016</v>
      </c>
      <c r="G64" s="175">
        <v>2.0363859999999998</v>
      </c>
      <c r="H64" s="176">
        <v>14276</v>
      </c>
      <c r="I64" s="185">
        <f t="shared" si="0"/>
        <v>6424</v>
      </c>
      <c r="J64" s="174">
        <f t="shared" si="1"/>
        <v>244</v>
      </c>
      <c r="K64" s="174">
        <f t="shared" si="2"/>
        <v>1156</v>
      </c>
      <c r="L64" s="174">
        <f t="shared" si="3"/>
        <v>289</v>
      </c>
      <c r="M64" s="174">
        <f t="shared" si="4"/>
        <v>256</v>
      </c>
      <c r="N64" s="174">
        <f t="shared" si="5"/>
        <v>1413</v>
      </c>
    </row>
    <row r="65" spans="2:14">
      <c r="B65" s="174">
        <v>63</v>
      </c>
      <c r="C65" s="174" t="s">
        <v>460</v>
      </c>
      <c r="D65" s="174" t="s">
        <v>461</v>
      </c>
      <c r="E65" s="174" t="s">
        <v>462</v>
      </c>
      <c r="F65" s="175">
        <v>46.37585</v>
      </c>
      <c r="G65" s="175">
        <v>5.5452310000000002</v>
      </c>
      <c r="H65" s="176">
        <v>82931</v>
      </c>
      <c r="I65" s="185">
        <f t="shared" si="0"/>
        <v>37318</v>
      </c>
      <c r="J65" s="174">
        <f t="shared" si="1"/>
        <v>1418</v>
      </c>
      <c r="K65" s="174">
        <f t="shared" si="2"/>
        <v>6717</v>
      </c>
      <c r="L65" s="174">
        <f t="shared" si="3"/>
        <v>1679</v>
      </c>
      <c r="M65" s="174">
        <f t="shared" si="4"/>
        <v>1492</v>
      </c>
      <c r="N65" s="174">
        <f t="shared" si="5"/>
        <v>8209</v>
      </c>
    </row>
    <row r="66" spans="2:14">
      <c r="B66" s="174">
        <v>64</v>
      </c>
      <c r="C66" s="174" t="s">
        <v>460</v>
      </c>
      <c r="D66" s="174" t="s">
        <v>461</v>
      </c>
      <c r="E66" s="174" t="s">
        <v>463</v>
      </c>
      <c r="F66" s="175">
        <v>45.870100000000001</v>
      </c>
      <c r="G66" s="175">
        <v>5.3041999999999998</v>
      </c>
      <c r="H66" s="176">
        <v>74483</v>
      </c>
      <c r="I66" s="185">
        <f t="shared" si="0"/>
        <v>33517</v>
      </c>
      <c r="J66" s="174">
        <f t="shared" si="1"/>
        <v>1273</v>
      </c>
      <c r="K66" s="174">
        <f t="shared" si="2"/>
        <v>6033</v>
      </c>
      <c r="L66" s="174">
        <f t="shared" si="3"/>
        <v>1508</v>
      </c>
      <c r="M66" s="174">
        <f t="shared" si="4"/>
        <v>1340</v>
      </c>
      <c r="N66" s="174">
        <f t="shared" si="5"/>
        <v>7373</v>
      </c>
    </row>
    <row r="67" spans="2:14">
      <c r="B67" s="174">
        <v>65</v>
      </c>
      <c r="C67" s="174" t="s">
        <v>460</v>
      </c>
      <c r="D67" s="174" t="s">
        <v>461</v>
      </c>
      <c r="E67" s="174" t="s">
        <v>464</v>
      </c>
      <c r="F67" s="175">
        <v>46.369100000000003</v>
      </c>
      <c r="G67" s="175">
        <v>5.9212999999999996</v>
      </c>
      <c r="H67" s="176">
        <v>11379</v>
      </c>
      <c r="I67" s="185">
        <f t="shared" si="0"/>
        <v>5120</v>
      </c>
      <c r="J67" s="174">
        <f t="shared" si="1"/>
        <v>194</v>
      </c>
      <c r="K67" s="174">
        <f t="shared" si="2"/>
        <v>921</v>
      </c>
      <c r="L67" s="174">
        <f t="shared" si="3"/>
        <v>230</v>
      </c>
      <c r="M67" s="174">
        <f t="shared" si="4"/>
        <v>204</v>
      </c>
      <c r="N67" s="174">
        <f t="shared" si="5"/>
        <v>1126</v>
      </c>
    </row>
    <row r="68" spans="2:14">
      <c r="B68" s="174">
        <v>66</v>
      </c>
      <c r="C68" s="174" t="s">
        <v>460</v>
      </c>
      <c r="D68" s="174" t="s">
        <v>461</v>
      </c>
      <c r="E68" s="174" t="s">
        <v>465</v>
      </c>
      <c r="F68" s="175">
        <v>46.512340999999999</v>
      </c>
      <c r="G68" s="175">
        <v>5.7509969999999999</v>
      </c>
      <c r="H68" s="176">
        <v>9713</v>
      </c>
      <c r="I68" s="185">
        <f t="shared" ref="I68:I89" si="6">INT(H68*0.45)</f>
        <v>4370</v>
      </c>
      <c r="J68" s="174">
        <f t="shared" ref="J68:J89" si="7">INT(I68*3.8%)</f>
        <v>166</v>
      </c>
      <c r="K68" s="174">
        <f t="shared" ref="K68:K89" si="8">INT(I68*18%)</f>
        <v>786</v>
      </c>
      <c r="L68" s="174">
        <f t="shared" ref="L68:L89" si="9">INT(I68*4.5%)</f>
        <v>196</v>
      </c>
      <c r="M68" s="174">
        <f t="shared" ref="M68:M89" si="10">INT(I68*4%)</f>
        <v>174</v>
      </c>
      <c r="N68" s="174">
        <f t="shared" ref="N68:N89" si="11">INT(I68*22%)</f>
        <v>961</v>
      </c>
    </row>
    <row r="69" spans="2:14">
      <c r="B69" s="174">
        <v>67</v>
      </c>
      <c r="C69" s="174" t="s">
        <v>460</v>
      </c>
      <c r="D69" s="174" t="s">
        <v>461</v>
      </c>
      <c r="E69" s="174" t="s">
        <v>466</v>
      </c>
      <c r="F69" s="175">
        <v>46.675977199999998</v>
      </c>
      <c r="G69" s="175">
        <v>5.6924979000000002</v>
      </c>
      <c r="H69" s="176">
        <v>13965</v>
      </c>
      <c r="I69" s="185">
        <f t="shared" si="6"/>
        <v>6284</v>
      </c>
      <c r="J69" s="174">
        <f t="shared" si="7"/>
        <v>238</v>
      </c>
      <c r="K69" s="174">
        <f t="shared" si="8"/>
        <v>1131</v>
      </c>
      <c r="L69" s="174">
        <f t="shared" si="9"/>
        <v>282</v>
      </c>
      <c r="M69" s="174">
        <f t="shared" si="10"/>
        <v>251</v>
      </c>
      <c r="N69" s="174">
        <f t="shared" si="11"/>
        <v>1382</v>
      </c>
    </row>
    <row r="70" spans="2:14">
      <c r="B70" s="174">
        <v>68</v>
      </c>
      <c r="C70" s="174" t="s">
        <v>460</v>
      </c>
      <c r="D70" s="174" t="s">
        <v>461</v>
      </c>
      <c r="E70" s="174" t="s">
        <v>467</v>
      </c>
      <c r="F70" s="175">
        <v>46.528557999999997</v>
      </c>
      <c r="G70" s="175">
        <v>5.4722939999999998</v>
      </c>
      <c r="H70" s="176">
        <v>8348</v>
      </c>
      <c r="I70" s="185">
        <f t="shared" si="6"/>
        <v>3756</v>
      </c>
      <c r="J70" s="174">
        <f t="shared" si="7"/>
        <v>142</v>
      </c>
      <c r="K70" s="174">
        <f t="shared" si="8"/>
        <v>676</v>
      </c>
      <c r="L70" s="174">
        <f t="shared" si="9"/>
        <v>169</v>
      </c>
      <c r="M70" s="174">
        <f t="shared" si="10"/>
        <v>150</v>
      </c>
      <c r="N70" s="174">
        <f t="shared" si="11"/>
        <v>826</v>
      </c>
    </row>
    <row r="71" spans="2:14">
      <c r="B71" s="174">
        <v>69</v>
      </c>
      <c r="C71" s="174" t="s">
        <v>460</v>
      </c>
      <c r="D71" s="174" t="s">
        <v>461</v>
      </c>
      <c r="E71" s="174" t="s">
        <v>468</v>
      </c>
      <c r="F71" s="175">
        <v>46.528514999999999</v>
      </c>
      <c r="G71" s="175">
        <v>5.4719819999999997</v>
      </c>
      <c r="H71" s="176">
        <v>4208</v>
      </c>
      <c r="I71" s="185">
        <f t="shared" si="6"/>
        <v>1893</v>
      </c>
      <c r="J71" s="174">
        <f t="shared" si="7"/>
        <v>71</v>
      </c>
      <c r="K71" s="174">
        <f t="shared" si="8"/>
        <v>340</v>
      </c>
      <c r="L71" s="174">
        <f t="shared" si="9"/>
        <v>85</v>
      </c>
      <c r="M71" s="174">
        <f t="shared" si="10"/>
        <v>75</v>
      </c>
      <c r="N71" s="174">
        <f t="shared" si="11"/>
        <v>416</v>
      </c>
    </row>
    <row r="72" spans="2:14">
      <c r="B72" s="174">
        <v>70</v>
      </c>
      <c r="C72" s="174" t="s">
        <v>469</v>
      </c>
      <c r="D72" s="174" t="s">
        <v>470</v>
      </c>
      <c r="E72" s="174" t="s">
        <v>471</v>
      </c>
      <c r="F72" s="175">
        <v>48.524963</v>
      </c>
      <c r="G72" s="175">
        <v>5.3504459999999998</v>
      </c>
      <c r="H72" s="176">
        <v>55611</v>
      </c>
      <c r="I72" s="185">
        <f t="shared" si="6"/>
        <v>25024</v>
      </c>
      <c r="J72" s="174">
        <f t="shared" si="7"/>
        <v>950</v>
      </c>
      <c r="K72" s="174">
        <f t="shared" si="8"/>
        <v>4504</v>
      </c>
      <c r="L72" s="174">
        <f t="shared" si="9"/>
        <v>1126</v>
      </c>
      <c r="M72" s="174">
        <f t="shared" si="10"/>
        <v>1000</v>
      </c>
      <c r="N72" s="174">
        <f t="shared" si="11"/>
        <v>5505</v>
      </c>
    </row>
    <row r="73" spans="2:14">
      <c r="B73" s="174">
        <v>71</v>
      </c>
      <c r="C73" s="174" t="s">
        <v>469</v>
      </c>
      <c r="D73" s="174" t="s">
        <v>470</v>
      </c>
      <c r="E73" s="174" t="s">
        <v>472</v>
      </c>
      <c r="F73" s="175">
        <v>48.128701999999997</v>
      </c>
      <c r="G73" s="175">
        <v>5.425935</v>
      </c>
      <c r="H73" s="176">
        <v>52701</v>
      </c>
      <c r="I73" s="185">
        <f t="shared" si="6"/>
        <v>23715</v>
      </c>
      <c r="J73" s="174">
        <f t="shared" si="7"/>
        <v>901</v>
      </c>
      <c r="K73" s="174">
        <f t="shared" si="8"/>
        <v>4268</v>
      </c>
      <c r="L73" s="174">
        <f t="shared" si="9"/>
        <v>1067</v>
      </c>
      <c r="M73" s="174">
        <f t="shared" si="10"/>
        <v>948</v>
      </c>
      <c r="N73" s="174">
        <f t="shared" si="11"/>
        <v>5217</v>
      </c>
    </row>
    <row r="74" spans="2:14">
      <c r="B74" s="174">
        <v>72</v>
      </c>
      <c r="C74" s="174" t="s">
        <v>469</v>
      </c>
      <c r="D74" s="174" t="s">
        <v>470</v>
      </c>
      <c r="E74" s="174" t="s">
        <v>473</v>
      </c>
      <c r="F74" s="175">
        <v>47.851362000000002</v>
      </c>
      <c r="G74" s="175">
        <v>6.0136539999999998</v>
      </c>
      <c r="H74" s="176">
        <v>11203</v>
      </c>
      <c r="I74" s="185">
        <f t="shared" si="6"/>
        <v>5041</v>
      </c>
      <c r="J74" s="174">
        <f t="shared" si="7"/>
        <v>191</v>
      </c>
      <c r="K74" s="174">
        <f t="shared" si="8"/>
        <v>907</v>
      </c>
      <c r="L74" s="174">
        <f t="shared" si="9"/>
        <v>226</v>
      </c>
      <c r="M74" s="174">
        <f t="shared" si="10"/>
        <v>201</v>
      </c>
      <c r="N74" s="174">
        <f t="shared" si="11"/>
        <v>1109</v>
      </c>
    </row>
    <row r="75" spans="2:14">
      <c r="B75" s="174">
        <v>73</v>
      </c>
      <c r="C75" s="174" t="s">
        <v>469</v>
      </c>
      <c r="D75" s="174" t="s">
        <v>470</v>
      </c>
      <c r="E75" s="174" t="s">
        <v>474</v>
      </c>
      <c r="F75" s="175">
        <v>48.349715000000003</v>
      </c>
      <c r="G75" s="175">
        <v>5.8871510000000002</v>
      </c>
      <c r="H75" s="176">
        <v>14150</v>
      </c>
      <c r="I75" s="185">
        <f t="shared" si="6"/>
        <v>6367</v>
      </c>
      <c r="J75" s="174">
        <f t="shared" si="7"/>
        <v>241</v>
      </c>
      <c r="K75" s="174">
        <f t="shared" si="8"/>
        <v>1146</v>
      </c>
      <c r="L75" s="174">
        <f t="shared" si="9"/>
        <v>286</v>
      </c>
      <c r="M75" s="174">
        <f t="shared" si="10"/>
        <v>254</v>
      </c>
      <c r="N75" s="174">
        <f t="shared" si="11"/>
        <v>1400</v>
      </c>
    </row>
    <row r="76" spans="2:14">
      <c r="B76" s="174">
        <v>74</v>
      </c>
      <c r="C76" s="174" t="s">
        <v>469</v>
      </c>
      <c r="D76" s="174" t="s">
        <v>470</v>
      </c>
      <c r="E76" s="174" t="s">
        <v>475</v>
      </c>
      <c r="F76" s="175">
        <v>48.298121000000002</v>
      </c>
      <c r="G76" s="175">
        <v>5.3106609999999996</v>
      </c>
      <c r="H76" s="176">
        <v>8499</v>
      </c>
      <c r="I76" s="185">
        <f t="shared" si="6"/>
        <v>3824</v>
      </c>
      <c r="J76" s="174">
        <f t="shared" si="7"/>
        <v>145</v>
      </c>
      <c r="K76" s="174">
        <f t="shared" si="8"/>
        <v>688</v>
      </c>
      <c r="L76" s="174">
        <f t="shared" si="9"/>
        <v>172</v>
      </c>
      <c r="M76" s="174">
        <f t="shared" si="10"/>
        <v>152</v>
      </c>
      <c r="N76" s="174">
        <f t="shared" si="11"/>
        <v>841</v>
      </c>
    </row>
    <row r="77" spans="2:14">
      <c r="B77" s="174">
        <v>75</v>
      </c>
      <c r="C77" s="174" t="s">
        <v>469</v>
      </c>
      <c r="D77" s="174" t="s">
        <v>470</v>
      </c>
      <c r="E77" s="174" t="s">
        <v>476</v>
      </c>
      <c r="F77" s="175">
        <v>48.685465000000001</v>
      </c>
      <c r="G77" s="175">
        <v>6.1741039999999998</v>
      </c>
      <c r="H77" s="176">
        <v>17066</v>
      </c>
      <c r="I77" s="185">
        <f t="shared" si="6"/>
        <v>7679</v>
      </c>
      <c r="J77" s="174">
        <f t="shared" si="7"/>
        <v>291</v>
      </c>
      <c r="K77" s="174">
        <f t="shared" si="8"/>
        <v>1382</v>
      </c>
      <c r="L77" s="174">
        <f t="shared" si="9"/>
        <v>345</v>
      </c>
      <c r="M77" s="174">
        <f t="shared" si="10"/>
        <v>307</v>
      </c>
      <c r="N77" s="174">
        <f t="shared" si="11"/>
        <v>1689</v>
      </c>
    </row>
    <row r="78" spans="2:14">
      <c r="B78" s="174">
        <v>76</v>
      </c>
      <c r="C78" s="174" t="s">
        <v>469</v>
      </c>
      <c r="D78" s="174" t="s">
        <v>470</v>
      </c>
      <c r="E78" s="174" t="s">
        <v>477</v>
      </c>
      <c r="F78" s="175">
        <v>48.240788000000002</v>
      </c>
      <c r="G78" s="175">
        <v>5.578284</v>
      </c>
      <c r="H78" s="176">
        <v>7387</v>
      </c>
      <c r="I78" s="185">
        <f t="shared" si="6"/>
        <v>3324</v>
      </c>
      <c r="J78" s="174">
        <f t="shared" si="7"/>
        <v>126</v>
      </c>
      <c r="K78" s="174">
        <f t="shared" si="8"/>
        <v>598</v>
      </c>
      <c r="L78" s="174">
        <f t="shared" si="9"/>
        <v>149</v>
      </c>
      <c r="M78" s="174">
        <f t="shared" si="10"/>
        <v>132</v>
      </c>
      <c r="N78" s="174">
        <f t="shared" si="11"/>
        <v>731</v>
      </c>
    </row>
    <row r="79" spans="2:14">
      <c r="B79" s="174">
        <v>77</v>
      </c>
      <c r="C79" s="174" t="s">
        <v>469</v>
      </c>
      <c r="D79" s="174" t="s">
        <v>470</v>
      </c>
      <c r="E79" s="174" t="s">
        <v>478</v>
      </c>
      <c r="F79" s="175">
        <v>47.705109999999998</v>
      </c>
      <c r="G79" s="175">
        <v>5.7893699999999999</v>
      </c>
      <c r="H79" s="176">
        <v>7749</v>
      </c>
      <c r="I79" s="185">
        <f t="shared" si="6"/>
        <v>3487</v>
      </c>
      <c r="J79" s="174">
        <f t="shared" si="7"/>
        <v>132</v>
      </c>
      <c r="K79" s="174">
        <f t="shared" si="8"/>
        <v>627</v>
      </c>
      <c r="L79" s="174">
        <f t="shared" si="9"/>
        <v>156</v>
      </c>
      <c r="M79" s="174">
        <f t="shared" si="10"/>
        <v>139</v>
      </c>
      <c r="N79" s="174">
        <f t="shared" si="11"/>
        <v>767</v>
      </c>
    </row>
    <row r="80" spans="2:14">
      <c r="B80" s="174">
        <v>78</v>
      </c>
      <c r="C80" s="174" t="s">
        <v>469</v>
      </c>
      <c r="D80" s="174" t="s">
        <v>470</v>
      </c>
      <c r="E80" s="174" t="s">
        <v>479</v>
      </c>
      <c r="F80" s="175">
        <v>47.488796999999998</v>
      </c>
      <c r="G80" s="175">
        <v>5.7905499999999996</v>
      </c>
      <c r="H80" s="176">
        <v>5194</v>
      </c>
      <c r="I80" s="185">
        <f t="shared" si="6"/>
        <v>2337</v>
      </c>
      <c r="J80" s="174">
        <f t="shared" si="7"/>
        <v>88</v>
      </c>
      <c r="K80" s="174">
        <f t="shared" si="8"/>
        <v>420</v>
      </c>
      <c r="L80" s="174">
        <f t="shared" si="9"/>
        <v>105</v>
      </c>
      <c r="M80" s="174">
        <f t="shared" si="10"/>
        <v>93</v>
      </c>
      <c r="N80" s="174">
        <f t="shared" si="11"/>
        <v>514</v>
      </c>
    </row>
    <row r="81" spans="2:14">
      <c r="B81" s="174">
        <v>79</v>
      </c>
      <c r="C81" s="180" t="s">
        <v>469</v>
      </c>
      <c r="D81" s="180" t="s">
        <v>470</v>
      </c>
      <c r="E81" s="180" t="s">
        <v>480</v>
      </c>
      <c r="F81" s="175"/>
      <c r="G81" s="175"/>
      <c r="H81" s="176">
        <v>0</v>
      </c>
      <c r="I81" s="185">
        <f t="shared" si="6"/>
        <v>0</v>
      </c>
      <c r="J81" s="174">
        <f t="shared" si="7"/>
        <v>0</v>
      </c>
      <c r="K81" s="174">
        <f t="shared" si="8"/>
        <v>0</v>
      </c>
      <c r="L81" s="174">
        <f t="shared" si="9"/>
        <v>0</v>
      </c>
      <c r="M81" s="174">
        <f t="shared" si="10"/>
        <v>0</v>
      </c>
      <c r="N81" s="174">
        <f t="shared" si="11"/>
        <v>0</v>
      </c>
    </row>
    <row r="82" spans="2:14">
      <c r="B82" s="174">
        <v>80</v>
      </c>
      <c r="C82" s="174" t="s">
        <v>460</v>
      </c>
      <c r="D82" s="174" t="s">
        <v>481</v>
      </c>
      <c r="E82" s="174" t="s">
        <v>482</v>
      </c>
      <c r="F82" s="175">
        <v>46.226194</v>
      </c>
      <c r="G82" s="175">
        <v>6.2395750000000003</v>
      </c>
      <c r="H82" s="181">
        <v>72029</v>
      </c>
      <c r="I82" s="185">
        <f t="shared" si="6"/>
        <v>32413</v>
      </c>
      <c r="J82" s="174">
        <f t="shared" si="7"/>
        <v>1231</v>
      </c>
      <c r="K82" s="174">
        <f t="shared" si="8"/>
        <v>5834</v>
      </c>
      <c r="L82" s="174">
        <f t="shared" si="9"/>
        <v>1458</v>
      </c>
      <c r="M82" s="174">
        <f t="shared" si="10"/>
        <v>1296</v>
      </c>
      <c r="N82" s="174">
        <f t="shared" si="11"/>
        <v>7130</v>
      </c>
    </row>
    <row r="83" spans="2:14">
      <c r="B83" s="174">
        <v>81</v>
      </c>
      <c r="C83" s="174" t="s">
        <v>460</v>
      </c>
      <c r="D83" s="174" t="s">
        <v>481</v>
      </c>
      <c r="E83" s="174" t="s">
        <v>483</v>
      </c>
      <c r="F83" s="175">
        <v>46.460123240000001</v>
      </c>
      <c r="G83" s="175">
        <v>6.4343581299999997</v>
      </c>
      <c r="H83" s="181">
        <v>7269</v>
      </c>
      <c r="I83" s="185">
        <f t="shared" si="6"/>
        <v>3271</v>
      </c>
      <c r="J83" s="174">
        <f t="shared" si="7"/>
        <v>124</v>
      </c>
      <c r="K83" s="174">
        <f t="shared" si="8"/>
        <v>588</v>
      </c>
      <c r="L83" s="174">
        <f t="shared" si="9"/>
        <v>147</v>
      </c>
      <c r="M83" s="174">
        <f t="shared" si="10"/>
        <v>130</v>
      </c>
      <c r="N83" s="174">
        <f t="shared" si="11"/>
        <v>719</v>
      </c>
    </row>
    <row r="84" spans="2:14">
      <c r="B84" s="174">
        <v>82</v>
      </c>
      <c r="C84" s="174" t="s">
        <v>460</v>
      </c>
      <c r="D84" s="174" t="s">
        <v>481</v>
      </c>
      <c r="E84" s="174" t="s">
        <v>484</v>
      </c>
      <c r="F84" s="175">
        <v>46.214239999999997</v>
      </c>
      <c r="G84" s="175">
        <v>6.2589699999999997</v>
      </c>
      <c r="H84" s="181">
        <v>3440</v>
      </c>
      <c r="I84" s="185">
        <f t="shared" si="6"/>
        <v>1548</v>
      </c>
      <c r="J84" s="174">
        <f t="shared" si="7"/>
        <v>58</v>
      </c>
      <c r="K84" s="174">
        <f t="shared" si="8"/>
        <v>278</v>
      </c>
      <c r="L84" s="174">
        <f t="shared" si="9"/>
        <v>69</v>
      </c>
      <c r="M84" s="174">
        <f t="shared" si="10"/>
        <v>61</v>
      </c>
      <c r="N84" s="174">
        <f t="shared" si="11"/>
        <v>340</v>
      </c>
    </row>
    <row r="85" spans="2:14">
      <c r="B85" s="174">
        <v>83</v>
      </c>
      <c r="C85" s="174" t="s">
        <v>460</v>
      </c>
      <c r="D85" s="174" t="s">
        <v>481</v>
      </c>
      <c r="E85" s="174" t="s">
        <v>485</v>
      </c>
      <c r="F85" s="175">
        <v>46.312525000000001</v>
      </c>
      <c r="G85" s="175">
        <v>6.0840569999999996</v>
      </c>
      <c r="H85" s="181">
        <v>9524</v>
      </c>
      <c r="I85" s="185">
        <f t="shared" si="6"/>
        <v>4285</v>
      </c>
      <c r="J85" s="174">
        <f t="shared" si="7"/>
        <v>162</v>
      </c>
      <c r="K85" s="174">
        <f t="shared" si="8"/>
        <v>771</v>
      </c>
      <c r="L85" s="174">
        <f t="shared" si="9"/>
        <v>192</v>
      </c>
      <c r="M85" s="174">
        <f t="shared" si="10"/>
        <v>171</v>
      </c>
      <c r="N85" s="174">
        <f t="shared" si="11"/>
        <v>942</v>
      </c>
    </row>
    <row r="86" spans="2:14">
      <c r="B86" s="174">
        <v>84</v>
      </c>
      <c r="C86" s="174" t="s">
        <v>460</v>
      </c>
      <c r="D86" s="174" t="s">
        <v>486</v>
      </c>
      <c r="E86" s="174" t="s">
        <v>487</v>
      </c>
      <c r="F86" s="175">
        <v>45.756494250000003</v>
      </c>
      <c r="G86" s="175">
        <v>5.7632621200000003</v>
      </c>
      <c r="H86" s="181">
        <v>21000</v>
      </c>
      <c r="I86" s="185">
        <f t="shared" si="6"/>
        <v>9450</v>
      </c>
      <c r="J86" s="174">
        <f t="shared" si="7"/>
        <v>359</v>
      </c>
      <c r="K86" s="174">
        <f t="shared" si="8"/>
        <v>1701</v>
      </c>
      <c r="L86" s="174">
        <f t="shared" si="9"/>
        <v>425</v>
      </c>
      <c r="M86" s="174">
        <f t="shared" si="10"/>
        <v>378</v>
      </c>
      <c r="N86" s="174">
        <f t="shared" si="11"/>
        <v>2079</v>
      </c>
    </row>
    <row r="87" spans="2:14">
      <c r="B87" s="174">
        <v>85</v>
      </c>
      <c r="C87" s="174" t="s">
        <v>460</v>
      </c>
      <c r="D87" s="174" t="s">
        <v>486</v>
      </c>
      <c r="E87" s="174" t="s">
        <v>488</v>
      </c>
      <c r="F87" s="175">
        <v>45.850433000000002</v>
      </c>
      <c r="G87" s="175">
        <v>6.0743609999999997</v>
      </c>
      <c r="H87" s="181">
        <v>7015</v>
      </c>
      <c r="I87" s="185">
        <f t="shared" si="6"/>
        <v>3156</v>
      </c>
      <c r="J87" s="174">
        <f t="shared" si="7"/>
        <v>119</v>
      </c>
      <c r="K87" s="174">
        <f t="shared" si="8"/>
        <v>568</v>
      </c>
      <c r="L87" s="174">
        <f t="shared" si="9"/>
        <v>142</v>
      </c>
      <c r="M87" s="174">
        <f t="shared" si="10"/>
        <v>126</v>
      </c>
      <c r="N87" s="174">
        <f t="shared" si="11"/>
        <v>694</v>
      </c>
    </row>
    <row r="88" spans="2:14">
      <c r="B88" s="174">
        <v>86</v>
      </c>
      <c r="C88" s="174" t="s">
        <v>460</v>
      </c>
      <c r="D88" s="174" t="s">
        <v>486</v>
      </c>
      <c r="E88" s="174" t="s">
        <v>489</v>
      </c>
      <c r="F88" s="175">
        <v>45.691702999999997</v>
      </c>
      <c r="G88" s="175">
        <v>5.9265169999999996</v>
      </c>
      <c r="H88" s="181">
        <v>3108</v>
      </c>
      <c r="I88" s="185">
        <f t="shared" si="6"/>
        <v>1398</v>
      </c>
      <c r="J88" s="174">
        <f t="shared" si="7"/>
        <v>53</v>
      </c>
      <c r="K88" s="174">
        <f t="shared" si="8"/>
        <v>251</v>
      </c>
      <c r="L88" s="174">
        <f t="shared" si="9"/>
        <v>62</v>
      </c>
      <c r="M88" s="174">
        <f t="shared" si="10"/>
        <v>55</v>
      </c>
      <c r="N88" s="174">
        <f t="shared" si="11"/>
        <v>307</v>
      </c>
    </row>
    <row r="89" spans="2:14">
      <c r="B89" s="174">
        <v>87</v>
      </c>
      <c r="C89" s="174" t="s">
        <v>460</v>
      </c>
      <c r="D89" s="174" t="s">
        <v>486</v>
      </c>
      <c r="E89" s="174" t="s">
        <v>490</v>
      </c>
      <c r="F89" s="175">
        <v>45.606113000000001</v>
      </c>
      <c r="G89" s="225">
        <v>5.7973210000000002</v>
      </c>
      <c r="H89" s="226">
        <v>3336</v>
      </c>
      <c r="I89" s="227">
        <f t="shared" si="6"/>
        <v>1501</v>
      </c>
      <c r="J89" s="228">
        <f t="shared" si="7"/>
        <v>57</v>
      </c>
      <c r="K89" s="228">
        <f t="shared" si="8"/>
        <v>270</v>
      </c>
      <c r="L89" s="228">
        <f t="shared" si="9"/>
        <v>67</v>
      </c>
      <c r="M89" s="228">
        <f t="shared" si="10"/>
        <v>60</v>
      </c>
      <c r="N89" s="228">
        <f t="shared" si="11"/>
        <v>330</v>
      </c>
    </row>
    <row r="90" spans="2:14" ht="24" customHeight="1">
      <c r="G90" s="222"/>
      <c r="H90" s="223">
        <f t="shared" ref="H90:M90" si="12">SUM(H3:H89)</f>
        <v>2543494</v>
      </c>
      <c r="I90" s="224">
        <f>SUM(I3:I89)</f>
        <v>1144532</v>
      </c>
      <c r="J90" s="223">
        <f t="shared" si="12"/>
        <v>43451</v>
      </c>
      <c r="K90" s="223">
        <f t="shared" si="12"/>
        <v>205975</v>
      </c>
      <c r="L90" s="223">
        <f t="shared" si="12"/>
        <v>51459</v>
      </c>
      <c r="M90" s="223">
        <f t="shared" si="12"/>
        <v>45738</v>
      </c>
      <c r="N90" s="223">
        <f>SUM(N3:N89)</f>
        <v>251759</v>
      </c>
    </row>
    <row r="91" spans="2:14" ht="24" customHeight="1">
      <c r="G91" s="199" t="s">
        <v>649</v>
      </c>
      <c r="H91" s="221">
        <f>(H90/12)*6</f>
        <v>1271747</v>
      </c>
      <c r="I91" s="221">
        <f t="shared" ref="I91:M91" si="13">(I90/12)*6</f>
        <v>572266</v>
      </c>
      <c r="J91" s="221">
        <f t="shared" si="13"/>
        <v>21725.5</v>
      </c>
      <c r="K91" s="221">
        <f t="shared" si="13"/>
        <v>102987.5</v>
      </c>
      <c r="L91" s="221">
        <f t="shared" si="13"/>
        <v>25729.5</v>
      </c>
      <c r="M91" s="221">
        <f t="shared" si="13"/>
        <v>22869</v>
      </c>
      <c r="N91" s="221">
        <f>(N90/12)*6</f>
        <v>125879.5</v>
      </c>
    </row>
    <row r="92" spans="2:14" ht="24.75" customHeight="1">
      <c r="G92" s="235" t="s">
        <v>650</v>
      </c>
      <c r="H92" s="234">
        <f>(H90/12)*4</f>
        <v>847831.33333333337</v>
      </c>
      <c r="I92" s="234">
        <f t="shared" ref="I92:N92" si="14">(I90/12)*4</f>
        <v>381510.66666666669</v>
      </c>
      <c r="J92" s="234">
        <f t="shared" si="14"/>
        <v>14483.666666666666</v>
      </c>
      <c r="K92" s="234">
        <f t="shared" si="14"/>
        <v>68658.333333333328</v>
      </c>
      <c r="L92" s="234">
        <f t="shared" si="14"/>
        <v>17153</v>
      </c>
      <c r="M92" s="234">
        <f t="shared" si="14"/>
        <v>15246</v>
      </c>
      <c r="N92" s="234">
        <f t="shared" si="14"/>
        <v>83919.666666666672</v>
      </c>
    </row>
    <row r="93" spans="2:14">
      <c r="H93" s="198"/>
      <c r="I93" s="198"/>
      <c r="J93" s="198"/>
      <c r="K93" s="198"/>
      <c r="L93" s="198"/>
      <c r="M93" s="198"/>
      <c r="N93" s="198"/>
    </row>
    <row r="96" spans="2:14">
      <c r="L96" s="183"/>
    </row>
    <row r="97" spans="8:13">
      <c r="M97" s="183"/>
    </row>
    <row r="100" spans="8:13">
      <c r="H100" s="184"/>
      <c r="I100" s="182"/>
    </row>
    <row r="101" spans="8:13">
      <c r="H101" s="182"/>
      <c r="I101" s="182"/>
    </row>
    <row r="102" spans="8:13">
      <c r="H102" s="184"/>
      <c r="I102" s="182"/>
    </row>
    <row r="103" spans="8:13">
      <c r="H103" s="182"/>
      <c r="I103" s="182"/>
    </row>
  </sheetData>
  <autoFilter ref="B2:N90" xr:uid="{8F56598C-6A9A-4627-8633-AFE3199041B1}"/>
  <mergeCells count="2">
    <mergeCell ref="F1:G1"/>
    <mergeCell ref="J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229B-7F20-42F4-9ED7-7EE165E05A12}">
  <dimension ref="A1:S104"/>
  <sheetViews>
    <sheetView workbookViewId="0">
      <selection activeCell="E12" sqref="E12"/>
    </sheetView>
  </sheetViews>
  <sheetFormatPr defaultColWidth="9.140625" defaultRowHeight="12.6"/>
  <cols>
    <col min="1" max="1" width="4.85546875" customWidth="1"/>
    <col min="4" max="4" width="20.7109375" bestFit="1" customWidth="1"/>
    <col min="5" max="5" width="31" customWidth="1"/>
    <col min="6" max="6" width="12" hidden="1" customWidth="1"/>
    <col min="7" max="7" width="13.42578125" hidden="1" customWidth="1"/>
    <col min="8" max="8" width="16.85546875" hidden="1" customWidth="1"/>
    <col min="9" max="9" width="17" customWidth="1"/>
    <col min="10" max="10" width="18.140625" customWidth="1"/>
    <col min="11" max="11" width="16.28515625" customWidth="1"/>
    <col min="12" max="12" width="15.140625" customWidth="1"/>
    <col min="13" max="13" width="16.85546875" customWidth="1"/>
    <col min="14" max="14" width="18.5703125" customWidth="1"/>
    <col min="15" max="15" width="21.28515625" customWidth="1"/>
    <col min="16" max="16" width="36.5703125" customWidth="1"/>
    <col min="17" max="17" width="22.7109375" customWidth="1"/>
    <col min="18" max="18" width="14.140625" customWidth="1"/>
    <col min="19" max="19" width="22.5703125" customWidth="1"/>
  </cols>
  <sheetData>
    <row r="1" spans="1:19" ht="12.75" customHeight="1">
      <c r="A1" s="200"/>
      <c r="B1" s="200"/>
      <c r="C1" s="200"/>
      <c r="D1" s="200"/>
      <c r="E1" s="200"/>
      <c r="F1" s="474" t="s">
        <v>369</v>
      </c>
      <c r="G1" s="475"/>
      <c r="H1" s="201" t="s">
        <v>4</v>
      </c>
      <c r="I1" s="201" t="s">
        <v>4</v>
      </c>
      <c r="J1" s="476" t="s">
        <v>4</v>
      </c>
      <c r="K1" s="476"/>
      <c r="L1" s="476"/>
      <c r="M1" s="476"/>
      <c r="N1" s="477"/>
      <c r="O1" s="202" t="s">
        <v>4</v>
      </c>
      <c r="P1" s="202" t="s">
        <v>4</v>
      </c>
      <c r="Q1" s="202" t="s">
        <v>4</v>
      </c>
    </row>
    <row r="2" spans="1:19" s="216" customFormat="1" ht="78" customHeight="1">
      <c r="A2" s="211"/>
      <c r="B2" s="212" t="s">
        <v>370</v>
      </c>
      <c r="C2" s="213" t="s">
        <v>371</v>
      </c>
      <c r="D2" s="213" t="s">
        <v>372</v>
      </c>
      <c r="E2" s="213" t="s">
        <v>373</v>
      </c>
      <c r="F2" s="213" t="s">
        <v>374</v>
      </c>
      <c r="G2" s="213" t="s">
        <v>375</v>
      </c>
      <c r="H2" s="213" t="s">
        <v>376</v>
      </c>
      <c r="I2" s="213" t="s">
        <v>377</v>
      </c>
      <c r="J2" s="214" t="s">
        <v>378</v>
      </c>
      <c r="K2" s="214" t="s">
        <v>379</v>
      </c>
      <c r="L2" s="214" t="s">
        <v>380</v>
      </c>
      <c r="M2" s="214" t="s">
        <v>381</v>
      </c>
      <c r="N2" s="214" t="s">
        <v>382</v>
      </c>
      <c r="O2" s="215" t="s">
        <v>651</v>
      </c>
      <c r="P2" s="215" t="s">
        <v>652</v>
      </c>
      <c r="Q2" s="215" t="s">
        <v>653</v>
      </c>
      <c r="R2" s="213" t="s">
        <v>371</v>
      </c>
      <c r="S2" s="213" t="s">
        <v>372</v>
      </c>
    </row>
    <row r="3" spans="1:19" ht="15.95">
      <c r="A3" s="200"/>
      <c r="B3" s="204">
        <v>1</v>
      </c>
      <c r="C3" s="203" t="s">
        <v>383</v>
      </c>
      <c r="D3" s="203" t="s">
        <v>384</v>
      </c>
      <c r="E3" s="203" t="s">
        <v>385</v>
      </c>
      <c r="F3" s="203">
        <v>43.182000000000002</v>
      </c>
      <c r="G3" s="203">
        <v>9.9362999999999992</v>
      </c>
      <c r="H3" s="205">
        <v>35186</v>
      </c>
      <c r="I3" s="205">
        <v>15833</v>
      </c>
      <c r="J3" s="203">
        <v>601</v>
      </c>
      <c r="K3" s="203">
        <v>2849</v>
      </c>
      <c r="L3" s="203">
        <v>712</v>
      </c>
      <c r="M3" s="203">
        <v>633</v>
      </c>
      <c r="N3" s="203">
        <v>3483</v>
      </c>
      <c r="O3" s="203" t="s">
        <v>654</v>
      </c>
      <c r="P3" s="203" t="s">
        <v>655</v>
      </c>
      <c r="Q3" s="203" t="s">
        <v>656</v>
      </c>
      <c r="R3" s="203" t="s">
        <v>383</v>
      </c>
      <c r="S3" s="203" t="s">
        <v>384</v>
      </c>
    </row>
    <row r="4" spans="1:19" ht="15.95">
      <c r="A4" s="200"/>
      <c r="B4" s="204">
        <v>2</v>
      </c>
      <c r="C4" s="203" t="s">
        <v>383</v>
      </c>
      <c r="D4" s="203" t="s">
        <v>384</v>
      </c>
      <c r="E4" s="203" t="s">
        <v>386</v>
      </c>
      <c r="F4" s="203">
        <v>43.184600000000003</v>
      </c>
      <c r="G4" s="203">
        <v>9.9311000000000007</v>
      </c>
      <c r="H4" s="205">
        <v>22650</v>
      </c>
      <c r="I4" s="205">
        <v>10192</v>
      </c>
      <c r="J4" s="203">
        <v>387</v>
      </c>
      <c r="K4" s="203">
        <v>1834</v>
      </c>
      <c r="L4" s="203">
        <v>458</v>
      </c>
      <c r="M4" s="203">
        <v>407</v>
      </c>
      <c r="N4" s="203">
        <v>2242</v>
      </c>
      <c r="O4" s="203" t="s">
        <v>654</v>
      </c>
      <c r="P4" s="203" t="s">
        <v>657</v>
      </c>
      <c r="Q4" s="203" t="s">
        <v>658</v>
      </c>
      <c r="R4" s="203" t="s">
        <v>383</v>
      </c>
      <c r="S4" s="203" t="s">
        <v>384</v>
      </c>
    </row>
    <row r="5" spans="1:19" ht="15.95">
      <c r="A5" s="200"/>
      <c r="B5" s="204">
        <v>3</v>
      </c>
      <c r="C5" s="203" t="s">
        <v>383</v>
      </c>
      <c r="D5" s="203" t="s">
        <v>384</v>
      </c>
      <c r="E5" s="203" t="s">
        <v>387</v>
      </c>
      <c r="F5" s="203">
        <v>43.179299999999998</v>
      </c>
      <c r="G5" s="203">
        <v>9.9290000000000003</v>
      </c>
      <c r="H5" s="205">
        <v>21471</v>
      </c>
      <c r="I5" s="205">
        <v>9661</v>
      </c>
      <c r="J5" s="203">
        <v>367</v>
      </c>
      <c r="K5" s="203">
        <v>1738</v>
      </c>
      <c r="L5" s="203">
        <v>434</v>
      </c>
      <c r="M5" s="203">
        <v>386</v>
      </c>
      <c r="N5" s="203">
        <v>2125</v>
      </c>
      <c r="O5" s="203" t="s">
        <v>654</v>
      </c>
      <c r="P5" s="203" t="s">
        <v>659</v>
      </c>
      <c r="Q5" s="203" t="s">
        <v>660</v>
      </c>
      <c r="R5" s="203" t="s">
        <v>383</v>
      </c>
      <c r="S5" s="203" t="s">
        <v>384</v>
      </c>
    </row>
    <row r="6" spans="1:19" ht="15.95">
      <c r="A6" s="200"/>
      <c r="B6" s="204">
        <v>4</v>
      </c>
      <c r="C6" s="203" t="s">
        <v>383</v>
      </c>
      <c r="D6" s="203" t="s">
        <v>384</v>
      </c>
      <c r="E6" s="203" t="s">
        <v>388</v>
      </c>
      <c r="F6" s="203">
        <v>43.1952</v>
      </c>
      <c r="G6" s="203">
        <v>9.9337999999999997</v>
      </c>
      <c r="H6" s="205">
        <v>38764</v>
      </c>
      <c r="I6" s="205">
        <v>17443</v>
      </c>
      <c r="J6" s="203">
        <v>662</v>
      </c>
      <c r="K6" s="203">
        <v>3139</v>
      </c>
      <c r="L6" s="203">
        <v>784</v>
      </c>
      <c r="M6" s="203">
        <v>697</v>
      </c>
      <c r="N6" s="203">
        <v>3837</v>
      </c>
      <c r="O6" s="203" t="s">
        <v>654</v>
      </c>
      <c r="P6" s="203" t="s">
        <v>661</v>
      </c>
      <c r="Q6" s="203" t="s">
        <v>662</v>
      </c>
      <c r="R6" s="203" t="s">
        <v>383</v>
      </c>
      <c r="S6" s="203" t="s">
        <v>384</v>
      </c>
    </row>
    <row r="7" spans="1:19" ht="15.95">
      <c r="A7" s="200"/>
      <c r="B7" s="204">
        <v>5</v>
      </c>
      <c r="C7" s="203" t="s">
        <v>383</v>
      </c>
      <c r="D7" s="203" t="s">
        <v>384</v>
      </c>
      <c r="E7" s="203" t="s">
        <v>389</v>
      </c>
      <c r="F7" s="203">
        <v>43.192500000000003</v>
      </c>
      <c r="G7" s="203">
        <v>9.9473000000000003</v>
      </c>
      <c r="H7" s="205">
        <v>35251</v>
      </c>
      <c r="I7" s="205">
        <v>15862</v>
      </c>
      <c r="J7" s="203">
        <v>602</v>
      </c>
      <c r="K7" s="203">
        <v>2855</v>
      </c>
      <c r="L7" s="203">
        <v>713</v>
      </c>
      <c r="M7" s="203">
        <v>634</v>
      </c>
      <c r="N7" s="203">
        <v>3489</v>
      </c>
      <c r="O7" s="203" t="s">
        <v>654</v>
      </c>
      <c r="P7" s="203" t="s">
        <v>663</v>
      </c>
      <c r="Q7" s="203" t="s">
        <v>664</v>
      </c>
      <c r="R7" s="203" t="s">
        <v>383</v>
      </c>
      <c r="S7" s="203" t="s">
        <v>384</v>
      </c>
    </row>
    <row r="8" spans="1:19" ht="15.95">
      <c r="A8" s="200"/>
      <c r="B8" s="204">
        <v>6</v>
      </c>
      <c r="C8" s="203" t="s">
        <v>383</v>
      </c>
      <c r="D8" s="203" t="s">
        <v>384</v>
      </c>
      <c r="E8" s="203" t="s">
        <v>390</v>
      </c>
      <c r="F8" s="203">
        <v>43.170699999999997</v>
      </c>
      <c r="G8" s="203">
        <v>9.9484999999999992</v>
      </c>
      <c r="H8" s="205">
        <v>19858</v>
      </c>
      <c r="I8" s="205">
        <v>8936</v>
      </c>
      <c r="J8" s="203">
        <v>339</v>
      </c>
      <c r="K8" s="203">
        <v>1608</v>
      </c>
      <c r="L8" s="203">
        <v>402</v>
      </c>
      <c r="M8" s="203">
        <v>357</v>
      </c>
      <c r="N8" s="203">
        <v>1965</v>
      </c>
      <c r="O8" s="203" t="s">
        <v>654</v>
      </c>
      <c r="P8" s="203" t="s">
        <v>665</v>
      </c>
      <c r="Q8" s="203" t="s">
        <v>666</v>
      </c>
      <c r="R8" s="203" t="s">
        <v>383</v>
      </c>
      <c r="S8" s="203" t="s">
        <v>384</v>
      </c>
    </row>
    <row r="9" spans="1:19" ht="15.95">
      <c r="A9" s="200"/>
      <c r="B9" s="204">
        <v>7</v>
      </c>
      <c r="C9" s="203" t="s">
        <v>383</v>
      </c>
      <c r="D9" s="203" t="s">
        <v>384</v>
      </c>
      <c r="E9" s="203" t="s">
        <v>391</v>
      </c>
      <c r="F9" s="203">
        <v>43.180300000000003</v>
      </c>
      <c r="G9" s="203">
        <v>9.9367000000000001</v>
      </c>
      <c r="H9" s="205">
        <v>379199</v>
      </c>
      <c r="I9" s="205">
        <v>170639</v>
      </c>
      <c r="J9" s="203">
        <v>6484</v>
      </c>
      <c r="K9" s="203">
        <v>30715</v>
      </c>
      <c r="L9" s="203">
        <v>7678</v>
      </c>
      <c r="M9" s="203">
        <v>6825</v>
      </c>
      <c r="N9" s="203">
        <v>37540</v>
      </c>
      <c r="O9" s="203" t="s">
        <v>654</v>
      </c>
      <c r="P9" s="203" t="s">
        <v>667</v>
      </c>
      <c r="Q9" s="203" t="s">
        <v>668</v>
      </c>
      <c r="R9" s="203" t="s">
        <v>383</v>
      </c>
      <c r="S9" s="203" t="s">
        <v>384</v>
      </c>
    </row>
    <row r="10" spans="1:19" ht="15.95">
      <c r="A10" s="200"/>
      <c r="B10" s="204">
        <v>8</v>
      </c>
      <c r="C10" s="203" t="s">
        <v>383</v>
      </c>
      <c r="D10" s="203" t="s">
        <v>384</v>
      </c>
      <c r="E10" s="203" t="s">
        <v>392</v>
      </c>
      <c r="F10" s="203">
        <v>43.303199999999997</v>
      </c>
      <c r="G10" s="203">
        <v>9.6948000000000008</v>
      </c>
      <c r="H10" s="205">
        <v>29913</v>
      </c>
      <c r="I10" s="205">
        <v>13460</v>
      </c>
      <c r="J10" s="203">
        <v>511</v>
      </c>
      <c r="K10" s="203">
        <v>2422</v>
      </c>
      <c r="L10" s="203">
        <v>605</v>
      </c>
      <c r="M10" s="203">
        <v>538</v>
      </c>
      <c r="N10" s="203">
        <v>2961</v>
      </c>
      <c r="O10" s="203" t="s">
        <v>654</v>
      </c>
      <c r="P10" s="203" t="s">
        <v>669</v>
      </c>
      <c r="Q10" s="203" t="s">
        <v>670</v>
      </c>
      <c r="R10" s="203" t="s">
        <v>383</v>
      </c>
      <c r="S10" s="203" t="s">
        <v>384</v>
      </c>
    </row>
    <row r="11" spans="1:19" ht="15.95">
      <c r="A11" s="200"/>
      <c r="B11" s="204">
        <v>9</v>
      </c>
      <c r="C11" s="203" t="s">
        <v>383</v>
      </c>
      <c r="D11" s="203" t="s">
        <v>384</v>
      </c>
      <c r="E11" s="203" t="s">
        <v>393</v>
      </c>
      <c r="F11" s="203">
        <v>43.010899999999999</v>
      </c>
      <c r="G11" s="203">
        <v>10.089499999999999</v>
      </c>
      <c r="H11" s="205">
        <v>24738</v>
      </c>
      <c r="I11" s="205">
        <v>11132</v>
      </c>
      <c r="J11" s="203">
        <v>423</v>
      </c>
      <c r="K11" s="203">
        <v>2003</v>
      </c>
      <c r="L11" s="203">
        <v>500</v>
      </c>
      <c r="M11" s="203">
        <v>445</v>
      </c>
      <c r="N11" s="203">
        <v>2449</v>
      </c>
      <c r="O11" s="203" t="s">
        <v>654</v>
      </c>
      <c r="P11" s="203" t="s">
        <v>671</v>
      </c>
      <c r="Q11" s="203" t="s">
        <v>672</v>
      </c>
      <c r="R11" s="203" t="s">
        <v>383</v>
      </c>
      <c r="S11" s="203" t="s">
        <v>384</v>
      </c>
    </row>
    <row r="12" spans="1:19" ht="15.95">
      <c r="A12" s="200"/>
      <c r="B12" s="204">
        <v>10</v>
      </c>
      <c r="C12" s="203" t="s">
        <v>383</v>
      </c>
      <c r="D12" s="203" t="s">
        <v>384</v>
      </c>
      <c r="E12" s="203" t="s">
        <v>394</v>
      </c>
      <c r="F12" s="203">
        <v>43.087800000000001</v>
      </c>
      <c r="G12" s="203">
        <v>10.194800000000001</v>
      </c>
      <c r="H12" s="205">
        <v>30407</v>
      </c>
      <c r="I12" s="205">
        <v>13683</v>
      </c>
      <c r="J12" s="203">
        <v>519</v>
      </c>
      <c r="K12" s="203">
        <v>2462</v>
      </c>
      <c r="L12" s="203">
        <v>615</v>
      </c>
      <c r="M12" s="203">
        <v>547</v>
      </c>
      <c r="N12" s="203">
        <v>3010</v>
      </c>
      <c r="O12" s="203" t="s">
        <v>654</v>
      </c>
      <c r="P12" s="203" t="s">
        <v>673</v>
      </c>
      <c r="Q12" s="203" t="s">
        <v>674</v>
      </c>
      <c r="R12" s="203" t="s">
        <v>383</v>
      </c>
      <c r="S12" s="203" t="s">
        <v>384</v>
      </c>
    </row>
    <row r="13" spans="1:19" ht="15.95">
      <c r="A13" s="200"/>
      <c r="B13" s="204">
        <v>11</v>
      </c>
      <c r="C13" s="203" t="s">
        <v>383</v>
      </c>
      <c r="D13" s="203" t="s">
        <v>395</v>
      </c>
      <c r="E13" s="203" t="s">
        <v>396</v>
      </c>
      <c r="F13" s="203">
        <v>42.843200000000003</v>
      </c>
      <c r="G13" s="203">
        <v>10.327199999999999</v>
      </c>
      <c r="H13" s="205">
        <v>14723</v>
      </c>
      <c r="I13" s="205">
        <v>6625</v>
      </c>
      <c r="J13" s="203">
        <v>251</v>
      </c>
      <c r="K13" s="203">
        <v>1192</v>
      </c>
      <c r="L13" s="203">
        <v>298</v>
      </c>
      <c r="M13" s="203">
        <v>265</v>
      </c>
      <c r="N13" s="203">
        <v>1457</v>
      </c>
      <c r="O13" s="203" t="s">
        <v>654</v>
      </c>
      <c r="P13" s="203" t="s">
        <v>675</v>
      </c>
      <c r="Q13" s="203" t="s">
        <v>676</v>
      </c>
      <c r="R13" s="203" t="s">
        <v>383</v>
      </c>
      <c r="S13" s="203" t="s">
        <v>395</v>
      </c>
    </row>
    <row r="14" spans="1:19" ht="15.95">
      <c r="A14" s="200"/>
      <c r="B14" s="204">
        <v>12</v>
      </c>
      <c r="C14" s="203" t="s">
        <v>383</v>
      </c>
      <c r="D14" s="203" t="s">
        <v>395</v>
      </c>
      <c r="E14" s="203" t="s">
        <v>397</v>
      </c>
      <c r="F14" s="203">
        <v>42.8917</v>
      </c>
      <c r="G14" s="203">
        <v>10.509600000000001</v>
      </c>
      <c r="H14" s="205">
        <v>5599</v>
      </c>
      <c r="I14" s="205">
        <v>2519</v>
      </c>
      <c r="J14" s="203">
        <v>95</v>
      </c>
      <c r="K14" s="203">
        <v>453</v>
      </c>
      <c r="L14" s="203">
        <v>113</v>
      </c>
      <c r="M14" s="203">
        <v>100</v>
      </c>
      <c r="N14" s="203">
        <v>554</v>
      </c>
      <c r="O14" s="203" t="s">
        <v>654</v>
      </c>
      <c r="P14" s="203" t="s">
        <v>677</v>
      </c>
      <c r="Q14" s="203" t="s">
        <v>678</v>
      </c>
      <c r="R14" s="203" t="s">
        <v>383</v>
      </c>
      <c r="S14" s="203" t="s">
        <v>395</v>
      </c>
    </row>
    <row r="15" spans="1:19" ht="15.95">
      <c r="A15" s="200"/>
      <c r="B15" s="204">
        <v>13</v>
      </c>
      <c r="C15" s="203" t="s">
        <v>383</v>
      </c>
      <c r="D15" s="203" t="s">
        <v>395</v>
      </c>
      <c r="E15" s="203" t="s">
        <v>398</v>
      </c>
      <c r="F15" s="203">
        <v>43.068100000000001</v>
      </c>
      <c r="G15" s="203">
        <v>10.620900000000001</v>
      </c>
      <c r="H15" s="205">
        <v>4973</v>
      </c>
      <c r="I15" s="205">
        <v>2237</v>
      </c>
      <c r="J15" s="203">
        <v>85</v>
      </c>
      <c r="K15" s="203">
        <v>402</v>
      </c>
      <c r="L15" s="203">
        <v>100</v>
      </c>
      <c r="M15" s="203">
        <v>89</v>
      </c>
      <c r="N15" s="203">
        <v>492</v>
      </c>
      <c r="O15" s="203" t="s">
        <v>654</v>
      </c>
      <c r="P15" s="203" t="s">
        <v>679</v>
      </c>
      <c r="Q15" s="203" t="s">
        <v>680</v>
      </c>
      <c r="R15" s="203" t="s">
        <v>383</v>
      </c>
      <c r="S15" s="203" t="s">
        <v>395</v>
      </c>
    </row>
    <row r="16" spans="1:19" ht="15.95">
      <c r="A16" s="200"/>
      <c r="B16" s="204">
        <v>14</v>
      </c>
      <c r="C16" s="203" t="s">
        <v>383</v>
      </c>
      <c r="D16" s="203" t="s">
        <v>395</v>
      </c>
      <c r="E16" s="203" t="s">
        <v>399</v>
      </c>
      <c r="F16" s="203">
        <v>43.193899999999999</v>
      </c>
      <c r="G16" s="203">
        <v>10.3744</v>
      </c>
      <c r="H16" s="205">
        <v>6281</v>
      </c>
      <c r="I16" s="205">
        <v>2826</v>
      </c>
      <c r="J16" s="203">
        <v>107</v>
      </c>
      <c r="K16" s="203">
        <v>508</v>
      </c>
      <c r="L16" s="203">
        <v>127</v>
      </c>
      <c r="M16" s="203">
        <v>113</v>
      </c>
      <c r="N16" s="203">
        <v>621</v>
      </c>
      <c r="O16" s="203" t="s">
        <v>654</v>
      </c>
      <c r="P16" s="203" t="s">
        <v>681</v>
      </c>
      <c r="Q16" s="203" t="s">
        <v>682</v>
      </c>
      <c r="R16" s="203" t="s">
        <v>383</v>
      </c>
      <c r="S16" s="203" t="s">
        <v>395</v>
      </c>
    </row>
    <row r="17" spans="1:19" ht="15.95">
      <c r="A17" s="200"/>
      <c r="B17" s="204">
        <v>15</v>
      </c>
      <c r="C17" s="203" t="s">
        <v>383</v>
      </c>
      <c r="D17" s="203" t="s">
        <v>395</v>
      </c>
      <c r="E17" s="203" t="s">
        <v>400</v>
      </c>
      <c r="F17" s="203">
        <v>43.476199999999999</v>
      </c>
      <c r="G17" s="203">
        <v>11.354799999999999</v>
      </c>
      <c r="H17" s="205">
        <v>43532</v>
      </c>
      <c r="I17" s="205">
        <v>19589</v>
      </c>
      <c r="J17" s="203">
        <v>744</v>
      </c>
      <c r="K17" s="203">
        <v>3526</v>
      </c>
      <c r="L17" s="203">
        <v>881</v>
      </c>
      <c r="M17" s="203">
        <v>783</v>
      </c>
      <c r="N17" s="203">
        <v>4309</v>
      </c>
      <c r="O17" s="203" t="s">
        <v>654</v>
      </c>
      <c r="P17" s="203" t="s">
        <v>683</v>
      </c>
      <c r="Q17" s="203" t="s">
        <v>684</v>
      </c>
      <c r="R17" s="203" t="s">
        <v>383</v>
      </c>
      <c r="S17" s="203" t="s">
        <v>395</v>
      </c>
    </row>
    <row r="18" spans="1:19" ht="15.95">
      <c r="A18" s="200"/>
      <c r="B18" s="204">
        <v>16</v>
      </c>
      <c r="C18" s="203" t="s">
        <v>383</v>
      </c>
      <c r="D18" s="203" t="s">
        <v>395</v>
      </c>
      <c r="E18" s="203" t="s">
        <v>401</v>
      </c>
      <c r="F18" s="203">
        <v>43.257899999999999</v>
      </c>
      <c r="G18" s="203">
        <v>11.459199999999999</v>
      </c>
      <c r="H18" s="205">
        <v>5933</v>
      </c>
      <c r="I18" s="205">
        <v>2669</v>
      </c>
      <c r="J18" s="203">
        <v>101</v>
      </c>
      <c r="K18" s="203">
        <v>480</v>
      </c>
      <c r="L18" s="203">
        <v>120</v>
      </c>
      <c r="M18" s="203">
        <v>106</v>
      </c>
      <c r="N18" s="203">
        <v>587</v>
      </c>
      <c r="O18" s="203" t="s">
        <v>654</v>
      </c>
      <c r="P18" s="203" t="s">
        <v>685</v>
      </c>
      <c r="Q18" s="203" t="s">
        <v>686</v>
      </c>
      <c r="R18" s="203" t="s">
        <v>383</v>
      </c>
      <c r="S18" s="203" t="s">
        <v>395</v>
      </c>
    </row>
    <row r="19" spans="1:19" ht="15.95">
      <c r="A19" s="200"/>
      <c r="B19" s="204">
        <v>17</v>
      </c>
      <c r="C19" s="203" t="s">
        <v>402</v>
      </c>
      <c r="D19" s="203" t="s">
        <v>403</v>
      </c>
      <c r="E19" s="203" t="s">
        <v>404</v>
      </c>
      <c r="F19" s="203">
        <v>45.577399999999997</v>
      </c>
      <c r="G19" s="203">
        <v>9.5223999999999993</v>
      </c>
      <c r="H19" s="205">
        <v>26595</v>
      </c>
      <c r="I19" s="205">
        <v>11967</v>
      </c>
      <c r="J19" s="203">
        <v>454</v>
      </c>
      <c r="K19" s="203">
        <v>2154</v>
      </c>
      <c r="L19" s="203">
        <v>538</v>
      </c>
      <c r="M19" s="203">
        <v>478</v>
      </c>
      <c r="N19" s="203">
        <v>2632</v>
      </c>
      <c r="O19" s="203" t="s">
        <v>654</v>
      </c>
      <c r="P19" s="203" t="s">
        <v>404</v>
      </c>
      <c r="Q19" s="203" t="s">
        <v>687</v>
      </c>
      <c r="R19" s="203" t="s">
        <v>402</v>
      </c>
      <c r="S19" s="203" t="s">
        <v>403</v>
      </c>
    </row>
    <row r="20" spans="1:19" ht="15.95">
      <c r="A20" s="200"/>
      <c r="B20" s="204">
        <v>18</v>
      </c>
      <c r="C20" s="203" t="s">
        <v>402</v>
      </c>
      <c r="D20" s="203" t="s">
        <v>403</v>
      </c>
      <c r="E20" s="203" t="s">
        <v>405</v>
      </c>
      <c r="F20" s="203">
        <v>45.914200000000001</v>
      </c>
      <c r="G20" s="203">
        <v>8.3686000000000007</v>
      </c>
      <c r="H20" s="205">
        <v>14319</v>
      </c>
      <c r="I20" s="205">
        <v>6443</v>
      </c>
      <c r="J20" s="203">
        <v>244</v>
      </c>
      <c r="K20" s="203">
        <v>1159</v>
      </c>
      <c r="L20" s="203">
        <v>289</v>
      </c>
      <c r="M20" s="203">
        <v>257</v>
      </c>
      <c r="N20" s="203">
        <v>1417</v>
      </c>
      <c r="O20" s="203" t="s">
        <v>654</v>
      </c>
      <c r="P20" s="203" t="s">
        <v>405</v>
      </c>
      <c r="Q20" s="203" t="s">
        <v>688</v>
      </c>
      <c r="R20" s="203" t="s">
        <v>402</v>
      </c>
      <c r="S20" s="203" t="s">
        <v>403</v>
      </c>
    </row>
    <row r="21" spans="1:19" ht="15.95">
      <c r="A21" s="200"/>
      <c r="B21" s="204">
        <v>19</v>
      </c>
      <c r="C21" s="203" t="s">
        <v>402</v>
      </c>
      <c r="D21" s="203" t="s">
        <v>403</v>
      </c>
      <c r="E21" s="203" t="s">
        <v>406</v>
      </c>
      <c r="F21" s="203">
        <v>45.537599999999998</v>
      </c>
      <c r="G21" s="203">
        <v>9.5238999999999994</v>
      </c>
      <c r="H21" s="205">
        <v>23676</v>
      </c>
      <c r="I21" s="205">
        <v>10654</v>
      </c>
      <c r="J21" s="203">
        <v>404</v>
      </c>
      <c r="K21" s="203">
        <v>1917</v>
      </c>
      <c r="L21" s="203">
        <v>479</v>
      </c>
      <c r="M21" s="203">
        <v>426</v>
      </c>
      <c r="N21" s="203">
        <v>2343</v>
      </c>
      <c r="O21" s="203" t="s">
        <v>654</v>
      </c>
      <c r="P21" s="203" t="s">
        <v>406</v>
      </c>
      <c r="Q21" s="203" t="s">
        <v>689</v>
      </c>
      <c r="R21" s="203" t="s">
        <v>402</v>
      </c>
      <c r="S21" s="203" t="s">
        <v>403</v>
      </c>
    </row>
    <row r="22" spans="1:19" ht="15.95">
      <c r="A22" s="200"/>
      <c r="B22" s="204">
        <v>20</v>
      </c>
      <c r="C22" s="203" t="s">
        <v>402</v>
      </c>
      <c r="D22" s="203" t="s">
        <v>403</v>
      </c>
      <c r="E22" s="203" t="s">
        <v>407</v>
      </c>
      <c r="F22" s="203">
        <v>45.537199999999999</v>
      </c>
      <c r="G22" s="203">
        <v>9.5343999999999998</v>
      </c>
      <c r="H22" s="205">
        <v>412543</v>
      </c>
      <c r="I22" s="205">
        <v>185644</v>
      </c>
      <c r="J22" s="203">
        <v>7054</v>
      </c>
      <c r="K22" s="203">
        <v>33415</v>
      </c>
      <c r="L22" s="203">
        <v>8353</v>
      </c>
      <c r="M22" s="203">
        <v>7425</v>
      </c>
      <c r="N22" s="203">
        <v>40841</v>
      </c>
      <c r="O22" s="203" t="s">
        <v>654</v>
      </c>
      <c r="P22" s="203" t="s">
        <v>407</v>
      </c>
      <c r="Q22" s="203" t="s">
        <v>690</v>
      </c>
      <c r="R22" s="203" t="s">
        <v>402</v>
      </c>
      <c r="S22" s="203" t="s">
        <v>403</v>
      </c>
    </row>
    <row r="23" spans="1:19" ht="15.95">
      <c r="A23" s="200"/>
      <c r="B23" s="204">
        <v>21</v>
      </c>
      <c r="C23" s="203" t="s">
        <v>402</v>
      </c>
      <c r="D23" s="203" t="s">
        <v>403</v>
      </c>
      <c r="E23" s="203" t="s">
        <v>408</v>
      </c>
      <c r="F23" s="203">
        <v>45.536299999999997</v>
      </c>
      <c r="G23" s="203">
        <v>9.5617999999999999</v>
      </c>
      <c r="H23" s="205">
        <v>8142</v>
      </c>
      <c r="I23" s="205">
        <v>3663</v>
      </c>
      <c r="J23" s="203">
        <v>139</v>
      </c>
      <c r="K23" s="203">
        <v>659</v>
      </c>
      <c r="L23" s="203">
        <v>164</v>
      </c>
      <c r="M23" s="203">
        <v>146</v>
      </c>
      <c r="N23" s="203">
        <v>805</v>
      </c>
      <c r="O23" s="203" t="s">
        <v>654</v>
      </c>
      <c r="P23" s="203" t="s">
        <v>691</v>
      </c>
      <c r="Q23" s="203" t="s">
        <v>692</v>
      </c>
      <c r="R23" s="203" t="s">
        <v>402</v>
      </c>
      <c r="S23" s="203" t="s">
        <v>403</v>
      </c>
    </row>
    <row r="24" spans="1:19" ht="15.95">
      <c r="A24" s="200"/>
      <c r="B24" s="204">
        <v>22</v>
      </c>
      <c r="C24" s="203" t="s">
        <v>402</v>
      </c>
      <c r="D24" s="203" t="s">
        <v>403</v>
      </c>
      <c r="E24" s="203" t="s">
        <v>409</v>
      </c>
      <c r="F24" s="203">
        <v>45.7684</v>
      </c>
      <c r="G24" s="203">
        <v>8.4162999999999997</v>
      </c>
      <c r="H24" s="205">
        <v>6871</v>
      </c>
      <c r="I24" s="205">
        <v>3091</v>
      </c>
      <c r="J24" s="203">
        <v>117</v>
      </c>
      <c r="K24" s="203">
        <v>556</v>
      </c>
      <c r="L24" s="203">
        <v>139</v>
      </c>
      <c r="M24" s="203">
        <v>123</v>
      </c>
      <c r="N24" s="203">
        <v>680</v>
      </c>
      <c r="O24" s="203" t="s">
        <v>654</v>
      </c>
      <c r="P24" s="203" t="s">
        <v>409</v>
      </c>
      <c r="Q24" s="203" t="s">
        <v>693</v>
      </c>
      <c r="R24" s="203" t="s">
        <v>402</v>
      </c>
      <c r="S24" s="203" t="s">
        <v>403</v>
      </c>
    </row>
    <row r="25" spans="1:19" ht="15.95">
      <c r="A25" s="200"/>
      <c r="B25" s="204">
        <v>23</v>
      </c>
      <c r="C25" s="203" t="s">
        <v>402</v>
      </c>
      <c r="D25" s="203" t="s">
        <v>403</v>
      </c>
      <c r="E25" s="203" t="s">
        <v>410</v>
      </c>
      <c r="F25" s="203">
        <v>45.718000000000004</v>
      </c>
      <c r="G25" s="203">
        <v>8.5136000000000003</v>
      </c>
      <c r="H25" s="205">
        <v>11641</v>
      </c>
      <c r="I25" s="205">
        <v>5238</v>
      </c>
      <c r="J25" s="203">
        <v>199</v>
      </c>
      <c r="K25" s="203">
        <v>942</v>
      </c>
      <c r="L25" s="203">
        <v>235</v>
      </c>
      <c r="M25" s="203">
        <v>209</v>
      </c>
      <c r="N25" s="203">
        <v>1152</v>
      </c>
      <c r="O25" s="203" t="s">
        <v>654</v>
      </c>
      <c r="P25" s="203" t="s">
        <v>410</v>
      </c>
      <c r="Q25" s="203" t="s">
        <v>694</v>
      </c>
      <c r="R25" s="203" t="s">
        <v>402</v>
      </c>
      <c r="S25" s="203" t="s">
        <v>403</v>
      </c>
    </row>
    <row r="26" spans="1:19" ht="15.95">
      <c r="A26" s="200"/>
      <c r="B26" s="204">
        <v>24</v>
      </c>
      <c r="C26" s="203" t="s">
        <v>402</v>
      </c>
      <c r="D26" s="203" t="s">
        <v>403</v>
      </c>
      <c r="E26" s="203" t="s">
        <v>411</v>
      </c>
      <c r="F26" s="203">
        <v>45.524299999999997</v>
      </c>
      <c r="G26" s="203">
        <v>9.5259999999999998</v>
      </c>
      <c r="H26" s="205">
        <v>25799</v>
      </c>
      <c r="I26" s="205">
        <v>11609</v>
      </c>
      <c r="J26" s="203">
        <v>441</v>
      </c>
      <c r="K26" s="203">
        <v>2089</v>
      </c>
      <c r="L26" s="203">
        <v>522</v>
      </c>
      <c r="M26" s="203">
        <v>464</v>
      </c>
      <c r="N26" s="203">
        <v>2553</v>
      </c>
      <c r="O26" s="203" t="s">
        <v>654</v>
      </c>
      <c r="P26" s="203" t="s">
        <v>411</v>
      </c>
      <c r="Q26" s="203" t="s">
        <v>695</v>
      </c>
      <c r="R26" s="203" t="s">
        <v>402</v>
      </c>
      <c r="S26" s="203" t="s">
        <v>403</v>
      </c>
    </row>
    <row r="27" spans="1:19" ht="15.95">
      <c r="A27" s="200"/>
      <c r="B27" s="204">
        <v>25</v>
      </c>
      <c r="C27" s="203" t="s">
        <v>402</v>
      </c>
      <c r="D27" s="203" t="s">
        <v>403</v>
      </c>
      <c r="E27" s="203" t="s">
        <v>412</v>
      </c>
      <c r="F27" s="203">
        <v>45.544499999999999</v>
      </c>
      <c r="G27" s="203">
        <v>9.5114999999999998</v>
      </c>
      <c r="H27" s="205">
        <v>23101</v>
      </c>
      <c r="I27" s="205">
        <v>10395</v>
      </c>
      <c r="J27" s="203">
        <v>395</v>
      </c>
      <c r="K27" s="203">
        <v>1871</v>
      </c>
      <c r="L27" s="203">
        <v>467</v>
      </c>
      <c r="M27" s="203">
        <v>415</v>
      </c>
      <c r="N27" s="203">
        <v>2286</v>
      </c>
      <c r="O27" s="203" t="s">
        <v>654</v>
      </c>
      <c r="P27" s="203" t="s">
        <v>412</v>
      </c>
      <c r="Q27" s="203" t="s">
        <v>696</v>
      </c>
      <c r="R27" s="203" t="s">
        <v>402</v>
      </c>
      <c r="S27" s="203" t="s">
        <v>403</v>
      </c>
    </row>
    <row r="28" spans="1:19" ht="15.95">
      <c r="A28" s="200"/>
      <c r="B28" s="204">
        <v>26</v>
      </c>
      <c r="C28" s="203" t="s">
        <v>402</v>
      </c>
      <c r="D28" s="203" t="s">
        <v>403</v>
      </c>
      <c r="E28" s="203" t="s">
        <v>413</v>
      </c>
      <c r="F28" s="203">
        <v>45.461599999999997</v>
      </c>
      <c r="G28" s="203">
        <v>8.5170999999999992</v>
      </c>
      <c r="H28" s="205">
        <v>16240</v>
      </c>
      <c r="I28" s="205">
        <v>7308</v>
      </c>
      <c r="J28" s="203">
        <v>277</v>
      </c>
      <c r="K28" s="203">
        <v>1315</v>
      </c>
      <c r="L28" s="203">
        <v>328</v>
      </c>
      <c r="M28" s="203">
        <v>292</v>
      </c>
      <c r="N28" s="203">
        <v>1607</v>
      </c>
      <c r="O28" s="203" t="s">
        <v>654</v>
      </c>
      <c r="P28" s="203" t="s">
        <v>413</v>
      </c>
      <c r="Q28" s="203" t="s">
        <v>697</v>
      </c>
      <c r="R28" s="203" t="s">
        <v>402</v>
      </c>
      <c r="S28" s="203" t="s">
        <v>403</v>
      </c>
    </row>
    <row r="29" spans="1:19" ht="15.95">
      <c r="A29" s="200"/>
      <c r="B29" s="204">
        <v>27</v>
      </c>
      <c r="C29" s="203" t="s">
        <v>402</v>
      </c>
      <c r="D29" s="203" t="s">
        <v>403</v>
      </c>
      <c r="E29" s="203" t="s">
        <v>414</v>
      </c>
      <c r="F29" s="203">
        <v>45.890799999999999</v>
      </c>
      <c r="G29" s="203">
        <v>9.7993000000000006</v>
      </c>
      <c r="H29" s="205">
        <v>9206</v>
      </c>
      <c r="I29" s="205">
        <v>4142</v>
      </c>
      <c r="J29" s="203">
        <v>157</v>
      </c>
      <c r="K29" s="203">
        <v>745</v>
      </c>
      <c r="L29" s="203">
        <v>186</v>
      </c>
      <c r="M29" s="203">
        <v>165</v>
      </c>
      <c r="N29" s="203">
        <v>911</v>
      </c>
      <c r="O29" s="203" t="s">
        <v>654</v>
      </c>
      <c r="P29" s="203" t="s">
        <v>414</v>
      </c>
      <c r="Q29" s="203" t="s">
        <v>698</v>
      </c>
      <c r="R29" s="203" t="s">
        <v>402</v>
      </c>
      <c r="S29" s="203" t="s">
        <v>403</v>
      </c>
    </row>
    <row r="30" spans="1:19" ht="15.95">
      <c r="A30" s="200"/>
      <c r="B30" s="204">
        <v>28</v>
      </c>
      <c r="C30" s="203" t="s">
        <v>402</v>
      </c>
      <c r="D30" s="203" t="s">
        <v>403</v>
      </c>
      <c r="E30" s="203" t="s">
        <v>415</v>
      </c>
      <c r="F30" s="203">
        <v>45.4651</v>
      </c>
      <c r="G30" s="203">
        <v>8.7815999999999992</v>
      </c>
      <c r="H30" s="205">
        <v>11258</v>
      </c>
      <c r="I30" s="205">
        <v>5066</v>
      </c>
      <c r="J30" s="203">
        <v>192</v>
      </c>
      <c r="K30" s="203">
        <v>911</v>
      </c>
      <c r="L30" s="203">
        <v>227</v>
      </c>
      <c r="M30" s="203">
        <v>202</v>
      </c>
      <c r="N30" s="203">
        <v>1114</v>
      </c>
      <c r="O30" s="203" t="s">
        <v>654</v>
      </c>
      <c r="P30" s="203" t="s">
        <v>415</v>
      </c>
      <c r="Q30" s="203" t="s">
        <v>699</v>
      </c>
      <c r="R30" s="203" t="s">
        <v>402</v>
      </c>
      <c r="S30" s="203" t="s">
        <v>403</v>
      </c>
    </row>
    <row r="31" spans="1:19" ht="15.95">
      <c r="A31" s="200"/>
      <c r="B31" s="204">
        <v>29</v>
      </c>
      <c r="C31" s="203" t="s">
        <v>402</v>
      </c>
      <c r="D31" s="203" t="s">
        <v>403</v>
      </c>
      <c r="E31" s="203" t="s">
        <v>416</v>
      </c>
      <c r="F31" s="203">
        <v>45.521099999999997</v>
      </c>
      <c r="G31" s="203">
        <v>9.5799000000000003</v>
      </c>
      <c r="H31" s="205">
        <v>8621</v>
      </c>
      <c r="I31" s="205">
        <v>3879</v>
      </c>
      <c r="J31" s="203">
        <v>147</v>
      </c>
      <c r="K31" s="203">
        <v>698</v>
      </c>
      <c r="L31" s="203">
        <v>174</v>
      </c>
      <c r="M31" s="203">
        <v>155</v>
      </c>
      <c r="N31" s="203">
        <v>853</v>
      </c>
      <c r="O31" s="203" t="s">
        <v>654</v>
      </c>
      <c r="P31" s="217" t="s">
        <v>700</v>
      </c>
      <c r="Q31" s="203" t="s">
        <v>701</v>
      </c>
      <c r="R31" s="203" t="s">
        <v>402</v>
      </c>
      <c r="S31" s="203" t="s">
        <v>403</v>
      </c>
    </row>
    <row r="32" spans="1:19" ht="15.95">
      <c r="A32" s="200"/>
      <c r="B32" s="204">
        <v>30</v>
      </c>
      <c r="C32" s="203" t="s">
        <v>402</v>
      </c>
      <c r="D32" s="203" t="s">
        <v>403</v>
      </c>
      <c r="E32" s="203" t="s">
        <v>417</v>
      </c>
      <c r="F32" s="203">
        <v>45.635399999999997</v>
      </c>
      <c r="G32" s="203">
        <v>8.7518999999999991</v>
      </c>
      <c r="H32" s="205">
        <v>7467</v>
      </c>
      <c r="I32" s="205">
        <v>3360</v>
      </c>
      <c r="J32" s="203">
        <v>127</v>
      </c>
      <c r="K32" s="203">
        <v>604</v>
      </c>
      <c r="L32" s="203">
        <v>151</v>
      </c>
      <c r="M32" s="203">
        <v>134</v>
      </c>
      <c r="N32" s="203">
        <v>739</v>
      </c>
      <c r="O32" s="203" t="s">
        <v>654</v>
      </c>
      <c r="P32" s="203" t="s">
        <v>702</v>
      </c>
      <c r="Q32" s="203" t="s">
        <v>703</v>
      </c>
      <c r="R32" s="203" t="s">
        <v>402</v>
      </c>
      <c r="S32" s="203" t="s">
        <v>403</v>
      </c>
    </row>
    <row r="33" spans="1:19" ht="15.95">
      <c r="A33" s="200"/>
      <c r="B33" s="204">
        <v>31</v>
      </c>
      <c r="C33" s="203" t="s">
        <v>402</v>
      </c>
      <c r="D33" s="203" t="s">
        <v>403</v>
      </c>
      <c r="E33" s="203" t="s">
        <v>418</v>
      </c>
      <c r="F33" s="203">
        <v>45.968000000000004</v>
      </c>
      <c r="G33" s="203">
        <v>9.0654000000000003</v>
      </c>
      <c r="H33" s="205">
        <v>17065</v>
      </c>
      <c r="I33" s="205">
        <v>7679</v>
      </c>
      <c r="J33" s="203">
        <v>291</v>
      </c>
      <c r="K33" s="203">
        <v>1382</v>
      </c>
      <c r="L33" s="203">
        <v>345</v>
      </c>
      <c r="M33" s="203">
        <v>307</v>
      </c>
      <c r="N33" s="203">
        <v>1689</v>
      </c>
      <c r="O33" s="203" t="s">
        <v>654</v>
      </c>
      <c r="P33" s="203" t="s">
        <v>418</v>
      </c>
      <c r="Q33" s="203" t="s">
        <v>704</v>
      </c>
      <c r="R33" s="203" t="s">
        <v>402</v>
      </c>
      <c r="S33" s="203" t="s">
        <v>403</v>
      </c>
    </row>
    <row r="34" spans="1:19" ht="15.95">
      <c r="A34" s="200"/>
      <c r="B34" s="204">
        <v>32</v>
      </c>
      <c r="C34" s="203" t="s">
        <v>402</v>
      </c>
      <c r="D34" s="203" t="s">
        <v>403</v>
      </c>
      <c r="E34" s="203" t="s">
        <v>419</v>
      </c>
      <c r="F34" s="203">
        <v>45.968000000000004</v>
      </c>
      <c r="G34" s="203">
        <v>9.0654000000000003</v>
      </c>
      <c r="H34" s="205">
        <v>6850</v>
      </c>
      <c r="I34" s="205">
        <v>3082</v>
      </c>
      <c r="J34" s="203">
        <v>117</v>
      </c>
      <c r="K34" s="203">
        <v>554</v>
      </c>
      <c r="L34" s="203">
        <v>138</v>
      </c>
      <c r="M34" s="203">
        <v>123</v>
      </c>
      <c r="N34" s="203">
        <v>678</v>
      </c>
      <c r="O34" s="203" t="s">
        <v>654</v>
      </c>
      <c r="P34" s="203" t="s">
        <v>419</v>
      </c>
      <c r="Q34" s="203" t="s">
        <v>705</v>
      </c>
      <c r="R34" s="203" t="s">
        <v>402</v>
      </c>
      <c r="S34" s="203" t="s">
        <v>403</v>
      </c>
    </row>
    <row r="35" spans="1:19" ht="15.95">
      <c r="A35" s="200"/>
      <c r="B35" s="204">
        <v>33</v>
      </c>
      <c r="C35" s="203" t="s">
        <v>402</v>
      </c>
      <c r="D35" s="203" t="s">
        <v>403</v>
      </c>
      <c r="E35" s="203" t="s">
        <v>420</v>
      </c>
      <c r="F35" s="203">
        <v>45.5991</v>
      </c>
      <c r="G35" s="203">
        <v>8.4740000000000002</v>
      </c>
      <c r="H35" s="205">
        <v>10209</v>
      </c>
      <c r="I35" s="205">
        <v>4594</v>
      </c>
      <c r="J35" s="203">
        <v>174</v>
      </c>
      <c r="K35" s="203">
        <v>826</v>
      </c>
      <c r="L35" s="203">
        <v>206</v>
      </c>
      <c r="M35" s="203">
        <v>183</v>
      </c>
      <c r="N35" s="203">
        <v>1010</v>
      </c>
      <c r="O35" s="203" t="s">
        <v>654</v>
      </c>
      <c r="P35" s="203" t="s">
        <v>420</v>
      </c>
      <c r="Q35" s="203" t="s">
        <v>706</v>
      </c>
      <c r="R35" s="203" t="s">
        <v>402</v>
      </c>
      <c r="S35" s="203" t="s">
        <v>403</v>
      </c>
    </row>
    <row r="36" spans="1:19" ht="15.95">
      <c r="A36" s="200"/>
      <c r="B36" s="204">
        <v>34</v>
      </c>
      <c r="C36" s="203" t="s">
        <v>402</v>
      </c>
      <c r="D36" s="203" t="s">
        <v>403</v>
      </c>
      <c r="E36" s="203" t="s">
        <v>421</v>
      </c>
      <c r="F36" s="203">
        <v>45.892400000000002</v>
      </c>
      <c r="G36" s="203">
        <v>8.8005999999999993</v>
      </c>
      <c r="H36" s="205">
        <v>11895</v>
      </c>
      <c r="I36" s="205">
        <v>5352</v>
      </c>
      <c r="J36" s="203">
        <v>203</v>
      </c>
      <c r="K36" s="203">
        <v>963</v>
      </c>
      <c r="L36" s="203">
        <v>240</v>
      </c>
      <c r="M36" s="203">
        <v>214</v>
      </c>
      <c r="N36" s="203">
        <v>1177</v>
      </c>
      <c r="O36" s="203" t="s">
        <v>654</v>
      </c>
      <c r="P36" s="203" t="s">
        <v>421</v>
      </c>
      <c r="Q36" s="203" t="s">
        <v>707</v>
      </c>
      <c r="R36" s="203" t="s">
        <v>402</v>
      </c>
      <c r="S36" s="203" t="s">
        <v>403</v>
      </c>
    </row>
    <row r="37" spans="1:19" ht="15.95">
      <c r="A37" s="200"/>
      <c r="B37" s="204">
        <v>35</v>
      </c>
      <c r="C37" s="203" t="s">
        <v>402</v>
      </c>
      <c r="D37" s="203" t="s">
        <v>403</v>
      </c>
      <c r="E37" s="203" t="s">
        <v>422</v>
      </c>
      <c r="F37" s="203">
        <v>45.892400000000002</v>
      </c>
      <c r="G37" s="203">
        <v>8.8005999999999993</v>
      </c>
      <c r="H37" s="205">
        <v>21477</v>
      </c>
      <c r="I37" s="205">
        <v>9664</v>
      </c>
      <c r="J37" s="203">
        <v>367</v>
      </c>
      <c r="K37" s="203">
        <v>1739</v>
      </c>
      <c r="L37" s="203">
        <v>434</v>
      </c>
      <c r="M37" s="203">
        <v>386</v>
      </c>
      <c r="N37" s="203">
        <v>2126</v>
      </c>
      <c r="O37" s="203" t="s">
        <v>654</v>
      </c>
      <c r="P37" s="203" t="s">
        <v>422</v>
      </c>
      <c r="Q37" s="203" t="s">
        <v>708</v>
      </c>
      <c r="R37" s="203" t="s">
        <v>402</v>
      </c>
      <c r="S37" s="203" t="s">
        <v>403</v>
      </c>
    </row>
    <row r="38" spans="1:19" ht="15.95">
      <c r="A38" s="200"/>
      <c r="B38" s="204">
        <v>36</v>
      </c>
      <c r="C38" s="203" t="s">
        <v>402</v>
      </c>
      <c r="D38" s="203" t="s">
        <v>423</v>
      </c>
      <c r="E38" s="203" t="s">
        <v>424</v>
      </c>
      <c r="F38" s="203">
        <v>44.986699999999999</v>
      </c>
      <c r="G38" s="203">
        <v>9.1880000000000006</v>
      </c>
      <c r="H38" s="205">
        <v>5683</v>
      </c>
      <c r="I38" s="205">
        <v>2557</v>
      </c>
      <c r="J38" s="203">
        <v>97</v>
      </c>
      <c r="K38" s="203">
        <v>460</v>
      </c>
      <c r="L38" s="203">
        <v>115</v>
      </c>
      <c r="M38" s="203">
        <v>102</v>
      </c>
      <c r="N38" s="203">
        <v>562</v>
      </c>
      <c r="O38" s="203" t="s">
        <v>654</v>
      </c>
      <c r="P38" s="203" t="s">
        <v>709</v>
      </c>
      <c r="Q38" s="203" t="s">
        <v>710</v>
      </c>
      <c r="R38" s="203" t="s">
        <v>402</v>
      </c>
      <c r="S38" s="203" t="s">
        <v>423</v>
      </c>
    </row>
    <row r="39" spans="1:19" ht="15.95">
      <c r="A39" s="200"/>
      <c r="B39" s="204">
        <v>37</v>
      </c>
      <c r="C39" s="203" t="s">
        <v>402</v>
      </c>
      <c r="D39" s="203" t="s">
        <v>423</v>
      </c>
      <c r="E39" s="203" t="s">
        <v>425</v>
      </c>
      <c r="F39" s="203">
        <v>45.241500000000002</v>
      </c>
      <c r="G39" s="203">
        <v>8.59</v>
      </c>
      <c r="H39" s="205">
        <v>8676</v>
      </c>
      <c r="I39" s="205">
        <v>3904</v>
      </c>
      <c r="J39" s="203">
        <v>148</v>
      </c>
      <c r="K39" s="203">
        <v>702</v>
      </c>
      <c r="L39" s="203">
        <v>175</v>
      </c>
      <c r="M39" s="203">
        <v>156</v>
      </c>
      <c r="N39" s="203">
        <v>858</v>
      </c>
      <c r="O39" s="203" t="s">
        <v>654</v>
      </c>
      <c r="P39" s="217" t="s">
        <v>711</v>
      </c>
      <c r="Q39" s="203" t="s">
        <v>712</v>
      </c>
      <c r="R39" s="203" t="s">
        <v>402</v>
      </c>
      <c r="S39" s="203" t="s">
        <v>423</v>
      </c>
    </row>
    <row r="40" spans="1:19" ht="15.95">
      <c r="A40" s="200"/>
      <c r="B40" s="204">
        <v>38</v>
      </c>
      <c r="C40" s="203" t="s">
        <v>402</v>
      </c>
      <c r="D40" s="203" t="s">
        <v>423</v>
      </c>
      <c r="E40" s="203" t="s">
        <v>426</v>
      </c>
      <c r="F40" s="203">
        <v>45.2849</v>
      </c>
      <c r="G40" s="203">
        <v>9.2385000000000002</v>
      </c>
      <c r="H40" s="205">
        <v>5732</v>
      </c>
      <c r="I40" s="205">
        <v>2579</v>
      </c>
      <c r="J40" s="203">
        <v>98</v>
      </c>
      <c r="K40" s="203">
        <v>464</v>
      </c>
      <c r="L40" s="203">
        <v>116</v>
      </c>
      <c r="M40" s="203">
        <v>103</v>
      </c>
      <c r="N40" s="203">
        <v>567</v>
      </c>
      <c r="O40" s="203" t="s">
        <v>654</v>
      </c>
      <c r="P40" s="203" t="s">
        <v>713</v>
      </c>
      <c r="Q40" s="203" t="s">
        <v>714</v>
      </c>
      <c r="R40" s="203" t="s">
        <v>402</v>
      </c>
      <c r="S40" s="203" t="s">
        <v>423</v>
      </c>
    </row>
    <row r="41" spans="1:19" ht="15.95">
      <c r="A41" s="200"/>
      <c r="B41" s="204">
        <v>39</v>
      </c>
      <c r="C41" s="203" t="s">
        <v>402</v>
      </c>
      <c r="D41" s="203" t="s">
        <v>423</v>
      </c>
      <c r="E41" s="203" t="s">
        <v>427</v>
      </c>
      <c r="F41" s="203">
        <v>45.063600000000001</v>
      </c>
      <c r="G41" s="203">
        <v>9.407</v>
      </c>
      <c r="H41" s="205">
        <v>9352</v>
      </c>
      <c r="I41" s="205">
        <v>4208</v>
      </c>
      <c r="J41" s="203">
        <v>159</v>
      </c>
      <c r="K41" s="203">
        <v>757</v>
      </c>
      <c r="L41" s="203">
        <v>189</v>
      </c>
      <c r="M41" s="203">
        <v>168</v>
      </c>
      <c r="N41" s="203">
        <v>925</v>
      </c>
      <c r="O41" s="203" t="s">
        <v>654</v>
      </c>
      <c r="P41" s="203" t="s">
        <v>427</v>
      </c>
      <c r="Q41" s="203" t="s">
        <v>715</v>
      </c>
      <c r="R41" s="203" t="s">
        <v>402</v>
      </c>
      <c r="S41" s="203" t="s">
        <v>423</v>
      </c>
    </row>
    <row r="42" spans="1:19" ht="15.95">
      <c r="A42" s="200"/>
      <c r="B42" s="204">
        <v>40</v>
      </c>
      <c r="C42" s="203" t="s">
        <v>402</v>
      </c>
      <c r="D42" s="203" t="s">
        <v>423</v>
      </c>
      <c r="E42" s="203" t="s">
        <v>428</v>
      </c>
      <c r="F42" s="203">
        <v>45.064500000000002</v>
      </c>
      <c r="G42" s="203">
        <v>9.4083000000000006</v>
      </c>
      <c r="H42" s="205">
        <v>65841</v>
      </c>
      <c r="I42" s="205">
        <v>29628</v>
      </c>
      <c r="J42" s="203">
        <v>1125</v>
      </c>
      <c r="K42" s="203">
        <v>5333</v>
      </c>
      <c r="L42" s="203">
        <v>1333</v>
      </c>
      <c r="M42" s="203">
        <v>1185</v>
      </c>
      <c r="N42" s="203">
        <v>6518</v>
      </c>
      <c r="O42" s="203" t="s">
        <v>654</v>
      </c>
      <c r="P42" s="203" t="s">
        <v>428</v>
      </c>
      <c r="Q42" s="203" t="s">
        <v>716</v>
      </c>
      <c r="R42" s="203" t="s">
        <v>402</v>
      </c>
      <c r="S42" s="203" t="s">
        <v>423</v>
      </c>
    </row>
    <row r="43" spans="1:19" ht="15.95">
      <c r="A43" s="200"/>
      <c r="B43" s="204">
        <v>41</v>
      </c>
      <c r="C43" s="203" t="s">
        <v>429</v>
      </c>
      <c r="D43" s="203" t="s">
        <v>430</v>
      </c>
      <c r="E43" s="203" t="s">
        <v>431</v>
      </c>
      <c r="F43" s="203">
        <v>41.876600000000003</v>
      </c>
      <c r="G43" s="203">
        <v>3.9561999999999999</v>
      </c>
      <c r="H43" s="205">
        <v>57627</v>
      </c>
      <c r="I43" s="205">
        <v>25932</v>
      </c>
      <c r="J43" s="203">
        <v>985</v>
      </c>
      <c r="K43" s="203">
        <v>4667</v>
      </c>
      <c r="L43" s="203">
        <v>1166</v>
      </c>
      <c r="M43" s="203">
        <v>1037</v>
      </c>
      <c r="N43" s="203">
        <v>5705</v>
      </c>
      <c r="O43" s="203" t="s">
        <v>717</v>
      </c>
      <c r="P43" s="203" t="s">
        <v>718</v>
      </c>
      <c r="Q43" s="203" t="s">
        <v>719</v>
      </c>
      <c r="R43" s="203" t="s">
        <v>429</v>
      </c>
      <c r="S43" s="203" t="s">
        <v>430</v>
      </c>
    </row>
    <row r="44" spans="1:19" ht="15.95">
      <c r="A44" s="200"/>
      <c r="B44" s="204">
        <v>42</v>
      </c>
      <c r="C44" s="203" t="s">
        <v>429</v>
      </c>
      <c r="D44" s="203" t="s">
        <v>430</v>
      </c>
      <c r="E44" s="203" t="s">
        <v>432</v>
      </c>
      <c r="F44" s="203">
        <v>41.875500000000002</v>
      </c>
      <c r="G44" s="203">
        <v>3.9302000000000001</v>
      </c>
      <c r="H44" s="205">
        <v>25757</v>
      </c>
      <c r="I44" s="205">
        <v>11590</v>
      </c>
      <c r="J44" s="203">
        <v>440</v>
      </c>
      <c r="K44" s="203">
        <v>2086</v>
      </c>
      <c r="L44" s="203">
        <v>521</v>
      </c>
      <c r="M44" s="203">
        <v>463</v>
      </c>
      <c r="N44" s="203">
        <v>2549</v>
      </c>
      <c r="O44" s="203" t="s">
        <v>717</v>
      </c>
      <c r="P44" s="203" t="s">
        <v>720</v>
      </c>
      <c r="Q44" s="203" t="s">
        <v>721</v>
      </c>
      <c r="R44" s="203" t="s">
        <v>429</v>
      </c>
      <c r="S44" s="203" t="s">
        <v>430</v>
      </c>
    </row>
    <row r="45" spans="1:19" ht="15.95">
      <c r="A45" s="200"/>
      <c r="B45" s="204">
        <v>43</v>
      </c>
      <c r="C45" s="203" t="s">
        <v>429</v>
      </c>
      <c r="D45" s="203" t="s">
        <v>430</v>
      </c>
      <c r="E45" s="203" t="s">
        <v>433</v>
      </c>
      <c r="F45" s="203">
        <v>41.875500000000002</v>
      </c>
      <c r="G45" s="203">
        <v>3.9302000000000001</v>
      </c>
      <c r="H45" s="205">
        <v>21104</v>
      </c>
      <c r="I45" s="205">
        <v>9496</v>
      </c>
      <c r="J45" s="203">
        <v>360</v>
      </c>
      <c r="K45" s="203">
        <v>1709</v>
      </c>
      <c r="L45" s="203">
        <v>427</v>
      </c>
      <c r="M45" s="203">
        <v>379</v>
      </c>
      <c r="N45" s="203">
        <v>2089</v>
      </c>
      <c r="O45" s="203" t="s">
        <v>717</v>
      </c>
      <c r="P45" s="203" t="s">
        <v>722</v>
      </c>
      <c r="Q45" s="203" t="s">
        <v>723</v>
      </c>
      <c r="R45" s="203" t="s">
        <v>429</v>
      </c>
      <c r="S45" s="203" t="s">
        <v>430</v>
      </c>
    </row>
    <row r="46" spans="1:19" ht="15.95">
      <c r="A46" s="200"/>
      <c r="B46" s="204">
        <v>44</v>
      </c>
      <c r="C46" s="203" t="s">
        <v>429</v>
      </c>
      <c r="D46" s="203" t="s">
        <v>430</v>
      </c>
      <c r="E46" s="203" t="s">
        <v>434</v>
      </c>
      <c r="F46" s="203">
        <v>41.893900000000002</v>
      </c>
      <c r="G46" s="203">
        <v>3.9561999999999999</v>
      </c>
      <c r="H46" s="205">
        <v>8391</v>
      </c>
      <c r="I46" s="205">
        <v>3775</v>
      </c>
      <c r="J46" s="203">
        <v>143</v>
      </c>
      <c r="K46" s="203">
        <v>679</v>
      </c>
      <c r="L46" s="203">
        <v>169</v>
      </c>
      <c r="M46" s="203">
        <v>151</v>
      </c>
      <c r="N46" s="203">
        <v>830</v>
      </c>
      <c r="O46" s="203" t="s">
        <v>717</v>
      </c>
      <c r="P46" s="203" t="s">
        <v>724</v>
      </c>
      <c r="Q46" s="203" t="s">
        <v>725</v>
      </c>
      <c r="R46" s="203" t="s">
        <v>429</v>
      </c>
      <c r="S46" s="203" t="s">
        <v>430</v>
      </c>
    </row>
    <row r="47" spans="1:19" ht="15.95">
      <c r="A47" s="200"/>
      <c r="B47" s="204">
        <v>45</v>
      </c>
      <c r="C47" s="203" t="s">
        <v>429</v>
      </c>
      <c r="D47" s="203" t="s">
        <v>435</v>
      </c>
      <c r="E47" s="203" t="s">
        <v>436</v>
      </c>
      <c r="F47" s="203">
        <v>42.079000000000001</v>
      </c>
      <c r="G47" s="203">
        <v>4.1642000000000001</v>
      </c>
      <c r="H47" s="205">
        <v>25828</v>
      </c>
      <c r="I47" s="205">
        <v>11622</v>
      </c>
      <c r="J47" s="203">
        <v>441</v>
      </c>
      <c r="K47" s="203">
        <v>2091</v>
      </c>
      <c r="L47" s="203">
        <v>522</v>
      </c>
      <c r="M47" s="203">
        <v>464</v>
      </c>
      <c r="N47" s="203">
        <v>2556</v>
      </c>
      <c r="O47" s="203" t="s">
        <v>717</v>
      </c>
      <c r="P47" s="203" t="s">
        <v>436</v>
      </c>
      <c r="Q47" s="203" t="s">
        <v>726</v>
      </c>
      <c r="R47" s="203" t="s">
        <v>429</v>
      </c>
      <c r="S47" s="203" t="s">
        <v>435</v>
      </c>
    </row>
    <row r="48" spans="1:19" ht="15.95">
      <c r="A48" s="200"/>
      <c r="B48" s="204">
        <v>46</v>
      </c>
      <c r="C48" s="203" t="s">
        <v>429</v>
      </c>
      <c r="D48" s="203" t="s">
        <v>435</v>
      </c>
      <c r="E48" s="203" t="s">
        <v>437</v>
      </c>
      <c r="F48" s="203">
        <v>42.306399999999996</v>
      </c>
      <c r="G48" s="203">
        <v>4.0232999999999999</v>
      </c>
      <c r="H48" s="205">
        <v>18909</v>
      </c>
      <c r="I48" s="205">
        <v>8509</v>
      </c>
      <c r="J48" s="203">
        <v>323</v>
      </c>
      <c r="K48" s="203">
        <v>1531</v>
      </c>
      <c r="L48" s="203">
        <v>382</v>
      </c>
      <c r="M48" s="203">
        <v>340</v>
      </c>
      <c r="N48" s="203">
        <v>1871</v>
      </c>
      <c r="O48" s="203" t="s">
        <v>717</v>
      </c>
      <c r="P48" s="203" t="s">
        <v>727</v>
      </c>
      <c r="Q48" s="203" t="s">
        <v>728</v>
      </c>
      <c r="R48" s="203" t="s">
        <v>429</v>
      </c>
      <c r="S48" s="203" t="s">
        <v>435</v>
      </c>
    </row>
    <row r="49" spans="1:19" ht="15.95">
      <c r="A49" s="200"/>
      <c r="B49" s="204">
        <v>47</v>
      </c>
      <c r="C49" s="203" t="s">
        <v>429</v>
      </c>
      <c r="D49" s="203" t="s">
        <v>435</v>
      </c>
      <c r="E49" s="203" t="s">
        <v>438</v>
      </c>
      <c r="F49" s="203">
        <v>42.079000000000001</v>
      </c>
      <c r="G49" s="203">
        <v>4.1642000000000001</v>
      </c>
      <c r="H49" s="205">
        <v>8678</v>
      </c>
      <c r="I49" s="205">
        <v>3905</v>
      </c>
      <c r="J49" s="203">
        <v>148</v>
      </c>
      <c r="K49" s="203">
        <v>702</v>
      </c>
      <c r="L49" s="203">
        <v>175</v>
      </c>
      <c r="M49" s="203">
        <v>156</v>
      </c>
      <c r="N49" s="203">
        <v>859</v>
      </c>
      <c r="O49" s="203" t="s">
        <v>717</v>
      </c>
      <c r="P49" s="203" t="s">
        <v>729</v>
      </c>
      <c r="Q49" s="203" t="s">
        <v>730</v>
      </c>
      <c r="R49" s="203" t="s">
        <v>429</v>
      </c>
      <c r="S49" s="203" t="s">
        <v>435</v>
      </c>
    </row>
    <row r="50" spans="1:19" ht="15.95">
      <c r="A50" s="200"/>
      <c r="B50" s="204">
        <v>48</v>
      </c>
      <c r="C50" s="203" t="s">
        <v>429</v>
      </c>
      <c r="D50" s="203" t="s">
        <v>439</v>
      </c>
      <c r="E50" s="203" t="s">
        <v>440</v>
      </c>
      <c r="F50" s="203">
        <v>42.215299999999999</v>
      </c>
      <c r="G50" s="203">
        <v>3.3313000000000001</v>
      </c>
      <c r="H50" s="205">
        <v>69794</v>
      </c>
      <c r="I50" s="205">
        <v>31407</v>
      </c>
      <c r="J50" s="203">
        <v>1193</v>
      </c>
      <c r="K50" s="203">
        <v>5653</v>
      </c>
      <c r="L50" s="203">
        <v>1413</v>
      </c>
      <c r="M50" s="203">
        <v>1256</v>
      </c>
      <c r="N50" s="203">
        <v>6909</v>
      </c>
      <c r="O50" s="203" t="s">
        <v>717</v>
      </c>
      <c r="P50" s="203" t="s">
        <v>731</v>
      </c>
      <c r="Q50" s="203" t="s">
        <v>732</v>
      </c>
      <c r="R50" s="203" t="s">
        <v>429</v>
      </c>
      <c r="S50" s="203" t="s">
        <v>439</v>
      </c>
    </row>
    <row r="51" spans="1:19" ht="15.95">
      <c r="A51" s="200"/>
      <c r="B51" s="204">
        <v>49</v>
      </c>
      <c r="C51" s="203" t="s">
        <v>429</v>
      </c>
      <c r="D51" s="203" t="s">
        <v>439</v>
      </c>
      <c r="E51" s="203" t="s">
        <v>441</v>
      </c>
      <c r="F51" s="203">
        <v>42.215400000000002</v>
      </c>
      <c r="G51" s="203">
        <v>3.331</v>
      </c>
      <c r="H51" s="205">
        <v>19544</v>
      </c>
      <c r="I51" s="205">
        <v>8794</v>
      </c>
      <c r="J51" s="203">
        <v>334</v>
      </c>
      <c r="K51" s="203">
        <v>1582</v>
      </c>
      <c r="L51" s="203">
        <v>395</v>
      </c>
      <c r="M51" s="203">
        <v>351</v>
      </c>
      <c r="N51" s="203">
        <v>1934</v>
      </c>
      <c r="O51" s="203" t="s">
        <v>717</v>
      </c>
      <c r="P51" s="203" t="s">
        <v>733</v>
      </c>
      <c r="Q51" s="203" t="s">
        <v>734</v>
      </c>
      <c r="R51" s="203" t="s">
        <v>429</v>
      </c>
      <c r="S51" s="203" t="s">
        <v>439</v>
      </c>
    </row>
    <row r="52" spans="1:19" ht="15.95">
      <c r="A52" s="200"/>
      <c r="B52" s="204">
        <v>50</v>
      </c>
      <c r="C52" s="203" t="s">
        <v>429</v>
      </c>
      <c r="D52" s="203" t="s">
        <v>439</v>
      </c>
      <c r="E52" s="203" t="s">
        <v>442</v>
      </c>
      <c r="F52" s="203">
        <v>42.215299999999999</v>
      </c>
      <c r="G52" s="203">
        <v>3.3313000000000001</v>
      </c>
      <c r="H52" s="205">
        <v>22278</v>
      </c>
      <c r="I52" s="205">
        <v>10025</v>
      </c>
      <c r="J52" s="203">
        <v>380</v>
      </c>
      <c r="K52" s="203">
        <v>1804</v>
      </c>
      <c r="L52" s="203">
        <v>451</v>
      </c>
      <c r="M52" s="203">
        <v>401</v>
      </c>
      <c r="N52" s="203">
        <v>2205</v>
      </c>
      <c r="O52" s="203" t="s">
        <v>717</v>
      </c>
      <c r="P52" s="203" t="s">
        <v>735</v>
      </c>
      <c r="Q52" s="203" t="s">
        <v>736</v>
      </c>
      <c r="R52" s="203" t="s">
        <v>429</v>
      </c>
      <c r="S52" s="203" t="s">
        <v>439</v>
      </c>
    </row>
    <row r="53" spans="1:19" ht="15.95">
      <c r="A53" s="200"/>
      <c r="B53" s="204">
        <v>51</v>
      </c>
      <c r="C53" s="203" t="s">
        <v>429</v>
      </c>
      <c r="D53" s="203" t="s">
        <v>443</v>
      </c>
      <c r="E53" s="206" t="s">
        <v>444</v>
      </c>
      <c r="F53" s="203">
        <v>42.544600000000003</v>
      </c>
      <c r="G53" s="203">
        <v>3.8003</v>
      </c>
      <c r="H53" s="205">
        <v>29659</v>
      </c>
      <c r="I53" s="205">
        <v>13346</v>
      </c>
      <c r="J53" s="203">
        <v>507</v>
      </c>
      <c r="K53" s="203">
        <v>2402</v>
      </c>
      <c r="L53" s="203">
        <v>600</v>
      </c>
      <c r="M53" s="203">
        <v>533</v>
      </c>
      <c r="N53" s="203">
        <v>2936</v>
      </c>
      <c r="O53" s="203" t="s">
        <v>717</v>
      </c>
      <c r="P53" s="203" t="s">
        <v>444</v>
      </c>
      <c r="Q53" s="203" t="s">
        <v>737</v>
      </c>
      <c r="R53" s="203" t="s">
        <v>429</v>
      </c>
      <c r="S53" s="203" t="s">
        <v>443</v>
      </c>
    </row>
    <row r="54" spans="1:19" ht="15.95">
      <c r="A54" s="200"/>
      <c r="B54" s="204">
        <v>52</v>
      </c>
      <c r="C54" s="203" t="s">
        <v>429</v>
      </c>
      <c r="D54" s="203" t="s">
        <v>443</v>
      </c>
      <c r="E54" s="206" t="s">
        <v>445</v>
      </c>
      <c r="F54" s="203">
        <v>42.922899999999998</v>
      </c>
      <c r="G54" s="203">
        <v>4.3163999999999998</v>
      </c>
      <c r="H54" s="205">
        <v>70647</v>
      </c>
      <c r="I54" s="205">
        <v>31791</v>
      </c>
      <c r="J54" s="203">
        <v>1208</v>
      </c>
      <c r="K54" s="203">
        <v>5722</v>
      </c>
      <c r="L54" s="203">
        <v>1430</v>
      </c>
      <c r="M54" s="203">
        <v>1271</v>
      </c>
      <c r="N54" s="203">
        <v>6994</v>
      </c>
      <c r="O54" s="203" t="s">
        <v>717</v>
      </c>
      <c r="P54" s="203" t="s">
        <v>738</v>
      </c>
      <c r="Q54" s="203" t="s">
        <v>739</v>
      </c>
      <c r="R54" s="203" t="s">
        <v>429</v>
      </c>
      <c r="S54" s="203" t="s">
        <v>443</v>
      </c>
    </row>
    <row r="55" spans="1:19" ht="15.95">
      <c r="A55" s="200"/>
      <c r="B55" s="204">
        <v>53</v>
      </c>
      <c r="C55" s="203" t="s">
        <v>429</v>
      </c>
      <c r="D55" s="203" t="s">
        <v>443</v>
      </c>
      <c r="E55" s="203" t="s">
        <v>446</v>
      </c>
      <c r="F55" s="203">
        <v>42.666400000000003</v>
      </c>
      <c r="G55" s="203">
        <v>4.0465999999999998</v>
      </c>
      <c r="H55" s="205">
        <v>10941</v>
      </c>
      <c r="I55" s="205">
        <v>4923</v>
      </c>
      <c r="J55" s="203">
        <v>187</v>
      </c>
      <c r="K55" s="203">
        <v>886</v>
      </c>
      <c r="L55" s="203">
        <v>221</v>
      </c>
      <c r="M55" s="203">
        <v>196</v>
      </c>
      <c r="N55" s="203">
        <v>1083</v>
      </c>
      <c r="O55" s="203" t="s">
        <v>717</v>
      </c>
      <c r="P55" s="203" t="s">
        <v>740</v>
      </c>
      <c r="Q55" s="203" t="s">
        <v>741</v>
      </c>
      <c r="R55" s="203" t="s">
        <v>429</v>
      </c>
      <c r="S55" s="203" t="s">
        <v>443</v>
      </c>
    </row>
    <row r="56" spans="1:19" ht="15.95">
      <c r="A56" s="200"/>
      <c r="B56" s="204">
        <v>54</v>
      </c>
      <c r="C56" s="203" t="s">
        <v>429</v>
      </c>
      <c r="D56" s="203" t="s">
        <v>443</v>
      </c>
      <c r="E56" s="203" t="s">
        <v>447</v>
      </c>
      <c r="F56" s="203">
        <v>42.922899999999998</v>
      </c>
      <c r="G56" s="203">
        <v>4.3163999999999998</v>
      </c>
      <c r="H56" s="205">
        <v>11667</v>
      </c>
      <c r="I56" s="205">
        <v>5250</v>
      </c>
      <c r="J56" s="203">
        <v>199</v>
      </c>
      <c r="K56" s="203">
        <v>945</v>
      </c>
      <c r="L56" s="203">
        <v>236</v>
      </c>
      <c r="M56" s="203">
        <v>210</v>
      </c>
      <c r="N56" s="203">
        <v>1155</v>
      </c>
      <c r="O56" s="203" t="s">
        <v>717</v>
      </c>
      <c r="P56" s="203" t="s">
        <v>742</v>
      </c>
      <c r="Q56" s="203" t="s">
        <v>743</v>
      </c>
      <c r="R56" s="203" t="s">
        <v>429</v>
      </c>
      <c r="S56" s="203" t="s">
        <v>443</v>
      </c>
    </row>
    <row r="57" spans="1:19" ht="15.95">
      <c r="A57" s="200"/>
      <c r="B57" s="204">
        <v>55</v>
      </c>
      <c r="C57" s="203" t="s">
        <v>429</v>
      </c>
      <c r="D57" s="203" t="s">
        <v>443</v>
      </c>
      <c r="E57" s="203" t="s">
        <v>448</v>
      </c>
      <c r="F57" s="203">
        <v>42.530299999999997</v>
      </c>
      <c r="G57" s="203">
        <v>3.8805999999999998</v>
      </c>
      <c r="H57" s="205">
        <v>3502</v>
      </c>
      <c r="I57" s="205">
        <v>1575</v>
      </c>
      <c r="J57" s="203">
        <v>59</v>
      </c>
      <c r="K57" s="203">
        <v>283</v>
      </c>
      <c r="L57" s="203">
        <v>70</v>
      </c>
      <c r="M57" s="203">
        <v>63</v>
      </c>
      <c r="N57" s="203">
        <v>346</v>
      </c>
      <c r="O57" s="203" t="s">
        <v>717</v>
      </c>
      <c r="P57" s="203" t="s">
        <v>744</v>
      </c>
      <c r="Q57" s="203" t="s">
        <v>745</v>
      </c>
      <c r="R57" s="203" t="s">
        <v>429</v>
      </c>
      <c r="S57" s="203" t="s">
        <v>443</v>
      </c>
    </row>
    <row r="58" spans="1:19" ht="15.95">
      <c r="A58" s="200"/>
      <c r="B58" s="204">
        <v>56</v>
      </c>
      <c r="C58" s="203" t="s">
        <v>449</v>
      </c>
      <c r="D58" s="203" t="s">
        <v>450</v>
      </c>
      <c r="E58" s="203" t="s">
        <v>451</v>
      </c>
      <c r="F58" s="203">
        <v>45.3461</v>
      </c>
      <c r="G58" s="203">
        <v>2.0352999999999999</v>
      </c>
      <c r="H58" s="207">
        <v>30887</v>
      </c>
      <c r="I58" s="205">
        <v>13899</v>
      </c>
      <c r="J58" s="203">
        <v>528</v>
      </c>
      <c r="K58" s="203">
        <v>2501</v>
      </c>
      <c r="L58" s="203">
        <v>625</v>
      </c>
      <c r="M58" s="203">
        <v>555</v>
      </c>
      <c r="N58" s="203">
        <v>3057</v>
      </c>
      <c r="O58" s="203" t="s">
        <v>717</v>
      </c>
      <c r="P58" s="203" t="s">
        <v>746</v>
      </c>
      <c r="Q58" s="203" t="s">
        <v>747</v>
      </c>
      <c r="R58" s="203" t="s">
        <v>449</v>
      </c>
      <c r="S58" s="203" t="s">
        <v>450</v>
      </c>
    </row>
    <row r="59" spans="1:19" ht="15.95">
      <c r="A59" s="200"/>
      <c r="B59" s="204">
        <v>57</v>
      </c>
      <c r="C59" s="203" t="s">
        <v>449</v>
      </c>
      <c r="D59" s="203" t="s">
        <v>452</v>
      </c>
      <c r="E59" s="203" t="s">
        <v>453</v>
      </c>
      <c r="F59" s="203">
        <v>45.287500000000001</v>
      </c>
      <c r="G59" s="203">
        <v>2.1286</v>
      </c>
      <c r="H59" s="205">
        <v>52877</v>
      </c>
      <c r="I59" s="205">
        <v>23794</v>
      </c>
      <c r="J59" s="203">
        <v>904</v>
      </c>
      <c r="K59" s="203">
        <v>4282</v>
      </c>
      <c r="L59" s="203">
        <v>1070</v>
      </c>
      <c r="M59" s="203">
        <v>951</v>
      </c>
      <c r="N59" s="203">
        <v>5234</v>
      </c>
      <c r="O59" s="203" t="s">
        <v>717</v>
      </c>
      <c r="P59" s="203" t="s">
        <v>748</v>
      </c>
      <c r="Q59" s="203" t="s">
        <v>749</v>
      </c>
      <c r="R59" s="203" t="s">
        <v>449</v>
      </c>
      <c r="S59" s="203" t="s">
        <v>452</v>
      </c>
    </row>
    <row r="60" spans="1:19" ht="15.95">
      <c r="A60" s="200"/>
      <c r="B60" s="204">
        <v>58</v>
      </c>
      <c r="C60" s="203" t="s">
        <v>449</v>
      </c>
      <c r="D60" s="203" t="s">
        <v>452</v>
      </c>
      <c r="E60" s="203" t="s">
        <v>454</v>
      </c>
      <c r="F60" s="203">
        <v>45.3307</v>
      </c>
      <c r="G60" s="203">
        <v>2.0836000000000001</v>
      </c>
      <c r="H60" s="205">
        <v>9937</v>
      </c>
      <c r="I60" s="205">
        <v>4471</v>
      </c>
      <c r="J60" s="203">
        <v>169</v>
      </c>
      <c r="K60" s="203">
        <v>804</v>
      </c>
      <c r="L60" s="203">
        <v>201</v>
      </c>
      <c r="M60" s="203">
        <v>178</v>
      </c>
      <c r="N60" s="203">
        <v>983</v>
      </c>
      <c r="O60" s="203" t="s">
        <v>717</v>
      </c>
      <c r="P60" s="203" t="s">
        <v>750</v>
      </c>
      <c r="Q60" s="203" t="s">
        <v>751</v>
      </c>
      <c r="R60" s="203" t="s">
        <v>449</v>
      </c>
      <c r="S60" s="203" t="s">
        <v>452</v>
      </c>
    </row>
    <row r="61" spans="1:19" ht="15.95">
      <c r="A61" s="200"/>
      <c r="B61" s="204">
        <v>59</v>
      </c>
      <c r="C61" s="203" t="s">
        <v>449</v>
      </c>
      <c r="D61" s="203" t="s">
        <v>452</v>
      </c>
      <c r="E61" s="203" t="s">
        <v>455</v>
      </c>
      <c r="F61" s="203">
        <v>45.251300000000001</v>
      </c>
      <c r="G61" s="203">
        <v>2.0787</v>
      </c>
      <c r="H61" s="205">
        <v>8594</v>
      </c>
      <c r="I61" s="205">
        <v>3867</v>
      </c>
      <c r="J61" s="203">
        <v>146</v>
      </c>
      <c r="K61" s="203">
        <v>696</v>
      </c>
      <c r="L61" s="203">
        <v>174</v>
      </c>
      <c r="M61" s="203">
        <v>154</v>
      </c>
      <c r="N61" s="203">
        <v>850</v>
      </c>
      <c r="O61" s="203" t="s">
        <v>717</v>
      </c>
      <c r="P61" s="203" t="s">
        <v>752</v>
      </c>
      <c r="Q61" s="203" t="s">
        <v>753</v>
      </c>
      <c r="R61" s="203" t="s">
        <v>449</v>
      </c>
      <c r="S61" s="203" t="s">
        <v>452</v>
      </c>
    </row>
    <row r="62" spans="1:19" ht="15.95">
      <c r="A62" s="200"/>
      <c r="B62" s="204">
        <v>60</v>
      </c>
      <c r="C62" s="203" t="s">
        <v>449</v>
      </c>
      <c r="D62" s="203" t="s">
        <v>452</v>
      </c>
      <c r="E62" s="203" t="s">
        <v>456</v>
      </c>
      <c r="F62" s="203">
        <v>45.251300000000001</v>
      </c>
      <c r="G62" s="203">
        <v>2.0788000000000002</v>
      </c>
      <c r="H62" s="205">
        <v>6731</v>
      </c>
      <c r="I62" s="205">
        <v>3028</v>
      </c>
      <c r="J62" s="203">
        <v>115</v>
      </c>
      <c r="K62" s="203">
        <v>545</v>
      </c>
      <c r="L62" s="203">
        <v>136</v>
      </c>
      <c r="M62" s="203">
        <v>121</v>
      </c>
      <c r="N62" s="203">
        <v>666</v>
      </c>
      <c r="O62" s="203" t="s">
        <v>717</v>
      </c>
      <c r="P62" s="203" t="s">
        <v>754</v>
      </c>
      <c r="Q62" s="203" t="s">
        <v>755</v>
      </c>
      <c r="R62" s="203" t="s">
        <v>449</v>
      </c>
      <c r="S62" s="203" t="s">
        <v>452</v>
      </c>
    </row>
    <row r="63" spans="1:19" ht="15.95">
      <c r="A63" s="200"/>
      <c r="B63" s="204">
        <v>61</v>
      </c>
      <c r="C63" s="203" t="s">
        <v>449</v>
      </c>
      <c r="D63" s="203" t="s">
        <v>457</v>
      </c>
      <c r="E63" s="203" t="s">
        <v>458</v>
      </c>
      <c r="F63" s="203">
        <v>45.315100000000001</v>
      </c>
      <c r="G63" s="203">
        <v>2.0491000000000001</v>
      </c>
      <c r="H63" s="205">
        <v>17821</v>
      </c>
      <c r="I63" s="205">
        <v>8019</v>
      </c>
      <c r="J63" s="203">
        <v>304</v>
      </c>
      <c r="K63" s="203">
        <v>1443</v>
      </c>
      <c r="L63" s="203">
        <v>360</v>
      </c>
      <c r="M63" s="203">
        <v>320</v>
      </c>
      <c r="N63" s="203">
        <v>1764</v>
      </c>
      <c r="O63" s="203" t="s">
        <v>717</v>
      </c>
      <c r="P63" s="203" t="s">
        <v>756</v>
      </c>
      <c r="Q63" s="203" t="s">
        <v>757</v>
      </c>
      <c r="R63" s="203" t="s">
        <v>449</v>
      </c>
      <c r="S63" s="203" t="s">
        <v>457</v>
      </c>
    </row>
    <row r="64" spans="1:19" ht="15.95">
      <c r="A64" s="200"/>
      <c r="B64" s="204">
        <v>62</v>
      </c>
      <c r="C64" s="203" t="s">
        <v>449</v>
      </c>
      <c r="D64" s="203" t="s">
        <v>457</v>
      </c>
      <c r="E64" s="203" t="s">
        <v>459</v>
      </c>
      <c r="F64" s="203">
        <v>45.317999999999998</v>
      </c>
      <c r="G64" s="203">
        <v>2.0364</v>
      </c>
      <c r="H64" s="205">
        <v>14276</v>
      </c>
      <c r="I64" s="205">
        <v>6424</v>
      </c>
      <c r="J64" s="203">
        <v>244</v>
      </c>
      <c r="K64" s="203">
        <v>1156</v>
      </c>
      <c r="L64" s="203">
        <v>289</v>
      </c>
      <c r="M64" s="203">
        <v>256</v>
      </c>
      <c r="N64" s="203">
        <v>1413</v>
      </c>
      <c r="O64" s="203" t="s">
        <v>717</v>
      </c>
      <c r="P64" s="203" t="s">
        <v>758</v>
      </c>
      <c r="Q64" s="203" t="s">
        <v>759</v>
      </c>
      <c r="R64" s="203" t="s">
        <v>449</v>
      </c>
      <c r="S64" s="203" t="s">
        <v>457</v>
      </c>
    </row>
    <row r="65" spans="1:19" ht="15.95">
      <c r="A65" s="200"/>
      <c r="B65" s="204">
        <v>63</v>
      </c>
      <c r="C65" s="203" t="s">
        <v>460</v>
      </c>
      <c r="D65" s="203" t="s">
        <v>461</v>
      </c>
      <c r="E65" s="203" t="s">
        <v>462</v>
      </c>
      <c r="F65" s="203">
        <v>46.375900000000001</v>
      </c>
      <c r="G65" s="203">
        <v>5.5452000000000004</v>
      </c>
      <c r="H65" s="205">
        <v>82931</v>
      </c>
      <c r="I65" s="205">
        <v>37318</v>
      </c>
      <c r="J65" s="203">
        <v>1418</v>
      </c>
      <c r="K65" s="203">
        <v>6717</v>
      </c>
      <c r="L65" s="203">
        <v>1679</v>
      </c>
      <c r="M65" s="203">
        <v>1492</v>
      </c>
      <c r="N65" s="203">
        <v>8209</v>
      </c>
      <c r="O65" s="203" t="s">
        <v>717</v>
      </c>
      <c r="P65" s="203" t="s">
        <v>760</v>
      </c>
      <c r="Q65" s="203" t="s">
        <v>761</v>
      </c>
      <c r="R65" s="203" t="s">
        <v>460</v>
      </c>
      <c r="S65" s="203" t="s">
        <v>461</v>
      </c>
    </row>
    <row r="66" spans="1:19" ht="15.95">
      <c r="A66" s="200"/>
      <c r="B66" s="204">
        <v>64</v>
      </c>
      <c r="C66" s="203" t="s">
        <v>460</v>
      </c>
      <c r="D66" s="203" t="s">
        <v>461</v>
      </c>
      <c r="E66" s="203" t="s">
        <v>463</v>
      </c>
      <c r="F66" s="203">
        <v>45.870100000000001</v>
      </c>
      <c r="G66" s="203">
        <v>5.3041999999999998</v>
      </c>
      <c r="H66" s="205">
        <v>74483</v>
      </c>
      <c r="I66" s="205">
        <v>33517</v>
      </c>
      <c r="J66" s="203">
        <v>1273</v>
      </c>
      <c r="K66" s="203">
        <v>6033</v>
      </c>
      <c r="L66" s="203">
        <v>1508</v>
      </c>
      <c r="M66" s="203">
        <v>1340</v>
      </c>
      <c r="N66" s="203">
        <v>7373</v>
      </c>
      <c r="O66" s="203" t="s">
        <v>717</v>
      </c>
      <c r="P66" s="203" t="s">
        <v>762</v>
      </c>
      <c r="Q66" s="203" t="s">
        <v>763</v>
      </c>
      <c r="R66" s="203" t="s">
        <v>460</v>
      </c>
      <c r="S66" s="203" t="s">
        <v>461</v>
      </c>
    </row>
    <row r="67" spans="1:19" ht="15.95">
      <c r="A67" s="200"/>
      <c r="B67" s="204">
        <v>65</v>
      </c>
      <c r="C67" s="203" t="s">
        <v>460</v>
      </c>
      <c r="D67" s="203" t="s">
        <v>461</v>
      </c>
      <c r="E67" s="203" t="s">
        <v>464</v>
      </c>
      <c r="F67" s="203">
        <v>46.369100000000003</v>
      </c>
      <c r="G67" s="203">
        <v>5.9212999999999996</v>
      </c>
      <c r="H67" s="205">
        <v>11379</v>
      </c>
      <c r="I67" s="205">
        <v>5120</v>
      </c>
      <c r="J67" s="203">
        <v>194</v>
      </c>
      <c r="K67" s="203">
        <v>921</v>
      </c>
      <c r="L67" s="203">
        <v>230</v>
      </c>
      <c r="M67" s="203">
        <v>204</v>
      </c>
      <c r="N67" s="203">
        <v>1126</v>
      </c>
      <c r="O67" s="203" t="s">
        <v>717</v>
      </c>
      <c r="P67" s="203" t="s">
        <v>764</v>
      </c>
      <c r="Q67" s="203" t="s">
        <v>765</v>
      </c>
      <c r="R67" s="203" t="s">
        <v>460</v>
      </c>
      <c r="S67" s="203" t="s">
        <v>461</v>
      </c>
    </row>
    <row r="68" spans="1:19" ht="15.95">
      <c r="A68" s="200"/>
      <c r="B68" s="204">
        <v>66</v>
      </c>
      <c r="C68" s="203" t="s">
        <v>460</v>
      </c>
      <c r="D68" s="203" t="s">
        <v>461</v>
      </c>
      <c r="E68" s="203" t="s">
        <v>465</v>
      </c>
      <c r="F68" s="203">
        <v>46.512300000000003</v>
      </c>
      <c r="G68" s="203">
        <v>5.7510000000000003</v>
      </c>
      <c r="H68" s="205">
        <v>9713</v>
      </c>
      <c r="I68" s="205">
        <v>4370</v>
      </c>
      <c r="J68" s="203">
        <v>166</v>
      </c>
      <c r="K68" s="203">
        <v>786</v>
      </c>
      <c r="L68" s="203">
        <v>196</v>
      </c>
      <c r="M68" s="203">
        <v>174</v>
      </c>
      <c r="N68" s="203">
        <v>961</v>
      </c>
      <c r="O68" s="203" t="s">
        <v>717</v>
      </c>
      <c r="P68" s="203" t="s">
        <v>766</v>
      </c>
      <c r="Q68" s="203" t="s">
        <v>767</v>
      </c>
      <c r="R68" s="203" t="s">
        <v>460</v>
      </c>
      <c r="S68" s="203" t="s">
        <v>461</v>
      </c>
    </row>
    <row r="69" spans="1:19" ht="15.95">
      <c r="A69" s="200"/>
      <c r="B69" s="204">
        <v>67</v>
      </c>
      <c r="C69" s="203" t="s">
        <v>460</v>
      </c>
      <c r="D69" s="203" t="s">
        <v>461</v>
      </c>
      <c r="E69" s="203" t="s">
        <v>466</v>
      </c>
      <c r="F69" s="203">
        <v>46.676000000000002</v>
      </c>
      <c r="G69" s="203">
        <v>5.6924999999999999</v>
      </c>
      <c r="H69" s="205">
        <v>13965</v>
      </c>
      <c r="I69" s="205">
        <v>6284</v>
      </c>
      <c r="J69" s="203">
        <v>238</v>
      </c>
      <c r="K69" s="203">
        <v>1131</v>
      </c>
      <c r="L69" s="203">
        <v>282</v>
      </c>
      <c r="M69" s="203">
        <v>251</v>
      </c>
      <c r="N69" s="203">
        <v>1382</v>
      </c>
      <c r="O69" s="203" t="s">
        <v>717</v>
      </c>
      <c r="P69" s="217" t="s">
        <v>768</v>
      </c>
      <c r="Q69" s="203" t="s">
        <v>769</v>
      </c>
      <c r="R69" s="203" t="s">
        <v>460</v>
      </c>
      <c r="S69" s="203" t="s">
        <v>461</v>
      </c>
    </row>
    <row r="70" spans="1:19" ht="15.95">
      <c r="A70" s="200"/>
      <c r="B70" s="204">
        <v>68</v>
      </c>
      <c r="C70" s="203" t="s">
        <v>460</v>
      </c>
      <c r="D70" s="203" t="s">
        <v>461</v>
      </c>
      <c r="E70" s="203" t="s">
        <v>467</v>
      </c>
      <c r="F70" s="203">
        <v>46.528599999999997</v>
      </c>
      <c r="G70" s="203">
        <v>5.4722999999999997</v>
      </c>
      <c r="H70" s="205">
        <v>8348</v>
      </c>
      <c r="I70" s="205">
        <v>3756</v>
      </c>
      <c r="J70" s="203">
        <v>142</v>
      </c>
      <c r="K70" s="203">
        <v>676</v>
      </c>
      <c r="L70" s="203">
        <v>169</v>
      </c>
      <c r="M70" s="203">
        <v>150</v>
      </c>
      <c r="N70" s="203">
        <v>826</v>
      </c>
      <c r="O70" s="203" t="s">
        <v>717</v>
      </c>
      <c r="P70" s="203" t="s">
        <v>770</v>
      </c>
      <c r="Q70" s="203" t="s">
        <v>771</v>
      </c>
      <c r="R70" s="203" t="s">
        <v>460</v>
      </c>
      <c r="S70" s="203" t="s">
        <v>461</v>
      </c>
    </row>
    <row r="71" spans="1:19" ht="15.95">
      <c r="A71" s="200"/>
      <c r="B71" s="204">
        <v>69</v>
      </c>
      <c r="C71" s="203" t="s">
        <v>460</v>
      </c>
      <c r="D71" s="203" t="s">
        <v>461</v>
      </c>
      <c r="E71" s="203" t="s">
        <v>468</v>
      </c>
      <c r="F71" s="203">
        <v>46.528500000000001</v>
      </c>
      <c r="G71" s="203">
        <v>5.4720000000000004</v>
      </c>
      <c r="H71" s="205">
        <v>4208</v>
      </c>
      <c r="I71" s="205">
        <v>1893</v>
      </c>
      <c r="J71" s="203">
        <v>71</v>
      </c>
      <c r="K71" s="203">
        <v>340</v>
      </c>
      <c r="L71" s="203">
        <v>85</v>
      </c>
      <c r="M71" s="203">
        <v>75</v>
      </c>
      <c r="N71" s="203">
        <v>416</v>
      </c>
      <c r="O71" s="203" t="s">
        <v>717</v>
      </c>
      <c r="P71" s="203" t="s">
        <v>772</v>
      </c>
      <c r="Q71" s="203" t="s">
        <v>773</v>
      </c>
      <c r="R71" s="203" t="s">
        <v>460</v>
      </c>
      <c r="S71" s="203" t="s">
        <v>461</v>
      </c>
    </row>
    <row r="72" spans="1:19" ht="15.95">
      <c r="A72" s="200"/>
      <c r="B72" s="204">
        <v>70</v>
      </c>
      <c r="C72" s="203" t="s">
        <v>469</v>
      </c>
      <c r="D72" s="203" t="s">
        <v>470</v>
      </c>
      <c r="E72" s="203" t="s">
        <v>471</v>
      </c>
      <c r="F72" s="203">
        <v>48.524999999999999</v>
      </c>
      <c r="G72" s="203">
        <v>5.3503999999999996</v>
      </c>
      <c r="H72" s="205">
        <v>55611</v>
      </c>
      <c r="I72" s="205">
        <v>25024</v>
      </c>
      <c r="J72" s="203">
        <v>950</v>
      </c>
      <c r="K72" s="203">
        <v>4504</v>
      </c>
      <c r="L72" s="203">
        <v>1126</v>
      </c>
      <c r="M72" s="203">
        <v>1000</v>
      </c>
      <c r="N72" s="203">
        <v>5505</v>
      </c>
      <c r="O72" s="203" t="s">
        <v>717</v>
      </c>
      <c r="P72" s="203" t="s">
        <v>774</v>
      </c>
      <c r="Q72" s="203" t="s">
        <v>775</v>
      </c>
      <c r="R72" s="203" t="s">
        <v>469</v>
      </c>
      <c r="S72" s="203" t="s">
        <v>470</v>
      </c>
    </row>
    <row r="73" spans="1:19" ht="15.95">
      <c r="A73" s="200"/>
      <c r="B73" s="204">
        <v>71</v>
      </c>
      <c r="C73" s="203" t="s">
        <v>469</v>
      </c>
      <c r="D73" s="203" t="s">
        <v>470</v>
      </c>
      <c r="E73" s="203" t="s">
        <v>472</v>
      </c>
      <c r="F73" s="203">
        <v>48.128700000000002</v>
      </c>
      <c r="G73" s="203">
        <v>5.4259000000000004</v>
      </c>
      <c r="H73" s="205">
        <v>52701</v>
      </c>
      <c r="I73" s="205">
        <v>23715</v>
      </c>
      <c r="J73" s="203">
        <v>901</v>
      </c>
      <c r="K73" s="203">
        <v>4268</v>
      </c>
      <c r="L73" s="203">
        <v>1067</v>
      </c>
      <c r="M73" s="203">
        <v>948</v>
      </c>
      <c r="N73" s="203">
        <v>5217</v>
      </c>
      <c r="O73" s="203" t="s">
        <v>717</v>
      </c>
      <c r="P73" s="203" t="s">
        <v>776</v>
      </c>
      <c r="Q73" s="203" t="s">
        <v>777</v>
      </c>
      <c r="R73" s="203" t="s">
        <v>469</v>
      </c>
      <c r="S73" s="203" t="s">
        <v>470</v>
      </c>
    </row>
    <row r="74" spans="1:19" ht="15.95">
      <c r="A74" s="200"/>
      <c r="B74" s="204">
        <v>72</v>
      </c>
      <c r="C74" s="203" t="s">
        <v>469</v>
      </c>
      <c r="D74" s="203" t="s">
        <v>470</v>
      </c>
      <c r="E74" s="203" t="s">
        <v>473</v>
      </c>
      <c r="F74" s="203">
        <v>47.851399999999998</v>
      </c>
      <c r="G74" s="203">
        <v>6.0137</v>
      </c>
      <c r="H74" s="205">
        <v>11203</v>
      </c>
      <c r="I74" s="205">
        <v>5041</v>
      </c>
      <c r="J74" s="203">
        <v>191</v>
      </c>
      <c r="K74" s="203">
        <v>907</v>
      </c>
      <c r="L74" s="203">
        <v>226</v>
      </c>
      <c r="M74" s="203">
        <v>201</v>
      </c>
      <c r="N74" s="203">
        <v>1109</v>
      </c>
      <c r="O74" s="203" t="s">
        <v>717</v>
      </c>
      <c r="P74" s="217" t="s">
        <v>778</v>
      </c>
      <c r="Q74" s="203" t="s">
        <v>779</v>
      </c>
      <c r="R74" s="203" t="s">
        <v>469</v>
      </c>
      <c r="S74" s="203" t="s">
        <v>470</v>
      </c>
    </row>
    <row r="75" spans="1:19" ht="15.95">
      <c r="A75" s="200"/>
      <c r="B75" s="204">
        <v>73</v>
      </c>
      <c r="C75" s="203" t="s">
        <v>469</v>
      </c>
      <c r="D75" s="203" t="s">
        <v>470</v>
      </c>
      <c r="E75" s="203" t="s">
        <v>474</v>
      </c>
      <c r="F75" s="203">
        <v>48.349699999999999</v>
      </c>
      <c r="G75" s="203">
        <v>5.8872</v>
      </c>
      <c r="H75" s="205">
        <v>14150</v>
      </c>
      <c r="I75" s="205">
        <v>6367</v>
      </c>
      <c r="J75" s="203">
        <v>241</v>
      </c>
      <c r="K75" s="203">
        <v>1146</v>
      </c>
      <c r="L75" s="203">
        <v>286</v>
      </c>
      <c r="M75" s="203">
        <v>254</v>
      </c>
      <c r="N75" s="203">
        <v>1400</v>
      </c>
      <c r="O75" s="203" t="s">
        <v>717</v>
      </c>
      <c r="P75" s="203" t="s">
        <v>780</v>
      </c>
      <c r="Q75" s="203" t="s">
        <v>781</v>
      </c>
      <c r="R75" s="203" t="s">
        <v>469</v>
      </c>
      <c r="S75" s="203" t="s">
        <v>470</v>
      </c>
    </row>
    <row r="76" spans="1:19" ht="15.95">
      <c r="A76" s="200"/>
      <c r="B76" s="204">
        <v>74</v>
      </c>
      <c r="C76" s="203" t="s">
        <v>469</v>
      </c>
      <c r="D76" s="203" t="s">
        <v>470</v>
      </c>
      <c r="E76" s="203" t="s">
        <v>475</v>
      </c>
      <c r="F76" s="203">
        <v>48.298099999999998</v>
      </c>
      <c r="G76" s="203">
        <v>5.3106999999999998</v>
      </c>
      <c r="H76" s="205">
        <v>8499</v>
      </c>
      <c r="I76" s="205">
        <v>3824</v>
      </c>
      <c r="J76" s="203">
        <v>145</v>
      </c>
      <c r="K76" s="203">
        <v>688</v>
      </c>
      <c r="L76" s="203">
        <v>172</v>
      </c>
      <c r="M76" s="203">
        <v>152</v>
      </c>
      <c r="N76" s="203">
        <v>841</v>
      </c>
      <c r="O76" s="203" t="s">
        <v>717</v>
      </c>
      <c r="P76" s="203" t="s">
        <v>782</v>
      </c>
      <c r="Q76" s="203" t="s">
        <v>783</v>
      </c>
      <c r="R76" s="203" t="s">
        <v>469</v>
      </c>
      <c r="S76" s="203" t="s">
        <v>470</v>
      </c>
    </row>
    <row r="77" spans="1:19" ht="15.95">
      <c r="A77" s="200"/>
      <c r="B77" s="204">
        <v>75</v>
      </c>
      <c r="C77" s="203" t="s">
        <v>469</v>
      </c>
      <c r="D77" s="203" t="s">
        <v>470</v>
      </c>
      <c r="E77" s="203" t="s">
        <v>476</v>
      </c>
      <c r="F77" s="203">
        <v>48.685499999999998</v>
      </c>
      <c r="G77" s="203">
        <v>6.1741000000000001</v>
      </c>
      <c r="H77" s="205">
        <v>17066</v>
      </c>
      <c r="I77" s="205">
        <v>7679</v>
      </c>
      <c r="J77" s="203">
        <v>291</v>
      </c>
      <c r="K77" s="203">
        <v>1382</v>
      </c>
      <c r="L77" s="203">
        <v>345</v>
      </c>
      <c r="M77" s="203">
        <v>307</v>
      </c>
      <c r="N77" s="203">
        <v>1689</v>
      </c>
      <c r="O77" s="203" t="s">
        <v>717</v>
      </c>
      <c r="P77" s="203" t="s">
        <v>784</v>
      </c>
      <c r="Q77" s="203" t="s">
        <v>785</v>
      </c>
      <c r="R77" s="203" t="s">
        <v>469</v>
      </c>
      <c r="S77" s="203" t="s">
        <v>470</v>
      </c>
    </row>
    <row r="78" spans="1:19" ht="15.95">
      <c r="A78" s="200"/>
      <c r="B78" s="204">
        <v>76</v>
      </c>
      <c r="C78" s="203" t="s">
        <v>469</v>
      </c>
      <c r="D78" s="203" t="s">
        <v>470</v>
      </c>
      <c r="E78" s="203" t="s">
        <v>477</v>
      </c>
      <c r="F78" s="203">
        <v>48.2408</v>
      </c>
      <c r="G78" s="203">
        <v>5.5782999999999996</v>
      </c>
      <c r="H78" s="205">
        <v>7387</v>
      </c>
      <c r="I78" s="205">
        <v>3324</v>
      </c>
      <c r="J78" s="203">
        <v>126</v>
      </c>
      <c r="K78" s="203">
        <v>598</v>
      </c>
      <c r="L78" s="203">
        <v>149</v>
      </c>
      <c r="M78" s="203">
        <v>132</v>
      </c>
      <c r="N78" s="203">
        <v>731</v>
      </c>
      <c r="O78" s="203" t="s">
        <v>717</v>
      </c>
      <c r="P78" s="203" t="s">
        <v>786</v>
      </c>
      <c r="Q78" s="203" t="s">
        <v>787</v>
      </c>
      <c r="R78" s="203" t="s">
        <v>469</v>
      </c>
      <c r="S78" s="203" t="s">
        <v>470</v>
      </c>
    </row>
    <row r="79" spans="1:19" ht="15.95">
      <c r="A79" s="200"/>
      <c r="B79" s="204">
        <v>77</v>
      </c>
      <c r="C79" s="203" t="s">
        <v>469</v>
      </c>
      <c r="D79" s="203" t="s">
        <v>470</v>
      </c>
      <c r="E79" s="203" t="s">
        <v>478</v>
      </c>
      <c r="F79" s="203">
        <v>47.705100000000002</v>
      </c>
      <c r="G79" s="203">
        <v>5.7893999999999997</v>
      </c>
      <c r="H79" s="205">
        <v>7749</v>
      </c>
      <c r="I79" s="205">
        <v>3487</v>
      </c>
      <c r="J79" s="203">
        <v>132</v>
      </c>
      <c r="K79" s="203">
        <v>627</v>
      </c>
      <c r="L79" s="203">
        <v>156</v>
      </c>
      <c r="M79" s="203">
        <v>139</v>
      </c>
      <c r="N79" s="203">
        <v>767</v>
      </c>
      <c r="O79" s="203" t="s">
        <v>717</v>
      </c>
      <c r="P79" s="203" t="s">
        <v>788</v>
      </c>
      <c r="Q79" s="203" t="s">
        <v>789</v>
      </c>
      <c r="R79" s="203" t="s">
        <v>469</v>
      </c>
      <c r="S79" s="203" t="s">
        <v>470</v>
      </c>
    </row>
    <row r="80" spans="1:19" ht="15.95">
      <c r="A80" s="200"/>
      <c r="B80" s="204">
        <v>78</v>
      </c>
      <c r="C80" s="203" t="s">
        <v>469</v>
      </c>
      <c r="D80" s="203" t="s">
        <v>470</v>
      </c>
      <c r="E80" s="203" t="s">
        <v>479</v>
      </c>
      <c r="F80" s="203">
        <v>47.488799999999998</v>
      </c>
      <c r="G80" s="203">
        <v>5.7906000000000004</v>
      </c>
      <c r="H80" s="205">
        <v>5194</v>
      </c>
      <c r="I80" s="205">
        <v>2337</v>
      </c>
      <c r="J80" s="203">
        <v>88</v>
      </c>
      <c r="K80" s="203">
        <v>420</v>
      </c>
      <c r="L80" s="203">
        <v>105</v>
      </c>
      <c r="M80" s="203">
        <v>93</v>
      </c>
      <c r="N80" s="203">
        <v>514</v>
      </c>
      <c r="O80" s="203" t="s">
        <v>717</v>
      </c>
      <c r="P80" s="203" t="s">
        <v>790</v>
      </c>
      <c r="Q80" s="203" t="s">
        <v>791</v>
      </c>
      <c r="R80" s="203" t="s">
        <v>469</v>
      </c>
      <c r="S80" s="203" t="s">
        <v>470</v>
      </c>
    </row>
    <row r="81" spans="1:19" ht="15.95">
      <c r="A81" s="200"/>
      <c r="B81" s="204">
        <v>79</v>
      </c>
      <c r="C81" s="208" t="s">
        <v>469</v>
      </c>
      <c r="D81" s="208" t="s">
        <v>470</v>
      </c>
      <c r="E81" s="208" t="s">
        <v>480</v>
      </c>
      <c r="F81" s="203" t="s">
        <v>4</v>
      </c>
      <c r="G81" s="203" t="s">
        <v>4</v>
      </c>
      <c r="H81" s="203" t="s">
        <v>792</v>
      </c>
      <c r="I81" s="203" t="s">
        <v>792</v>
      </c>
      <c r="J81" s="203">
        <v>0</v>
      </c>
      <c r="K81" s="203">
        <v>0</v>
      </c>
      <c r="L81" s="203">
        <v>0</v>
      </c>
      <c r="M81" s="203">
        <v>0</v>
      </c>
      <c r="N81" s="203">
        <v>0</v>
      </c>
      <c r="O81" s="203" t="s">
        <v>717</v>
      </c>
      <c r="P81" s="218" t="s">
        <v>793</v>
      </c>
      <c r="Q81" s="218" t="s">
        <v>4</v>
      </c>
      <c r="R81" s="208" t="s">
        <v>469</v>
      </c>
      <c r="S81" s="208" t="s">
        <v>470</v>
      </c>
    </row>
    <row r="82" spans="1:19" ht="15.95">
      <c r="A82" s="200"/>
      <c r="B82" s="204">
        <v>80</v>
      </c>
      <c r="C82" s="203" t="s">
        <v>460</v>
      </c>
      <c r="D82" s="203" t="s">
        <v>481</v>
      </c>
      <c r="E82" s="203" t="s">
        <v>482</v>
      </c>
      <c r="F82" s="203">
        <v>46.226199999999999</v>
      </c>
      <c r="G82" s="203">
        <v>6.2396000000000003</v>
      </c>
      <c r="H82" s="203">
        <v>72029</v>
      </c>
      <c r="I82" s="205">
        <v>32413</v>
      </c>
      <c r="J82" s="203">
        <v>1231</v>
      </c>
      <c r="K82" s="203">
        <v>5834</v>
      </c>
      <c r="L82" s="203">
        <v>1458</v>
      </c>
      <c r="M82" s="203">
        <v>1296</v>
      </c>
      <c r="N82" s="203">
        <v>7130</v>
      </c>
      <c r="O82" s="203" t="s">
        <v>717</v>
      </c>
      <c r="P82" s="203" t="s">
        <v>794</v>
      </c>
      <c r="Q82" s="203" t="s">
        <v>795</v>
      </c>
      <c r="R82" s="203" t="s">
        <v>460</v>
      </c>
      <c r="S82" s="203" t="s">
        <v>481</v>
      </c>
    </row>
    <row r="83" spans="1:19" ht="15.95">
      <c r="A83" s="200"/>
      <c r="B83" s="204">
        <v>81</v>
      </c>
      <c r="C83" s="203" t="s">
        <v>460</v>
      </c>
      <c r="D83" s="203" t="s">
        <v>481</v>
      </c>
      <c r="E83" s="203" t="s">
        <v>483</v>
      </c>
      <c r="F83" s="203">
        <v>46.460099999999997</v>
      </c>
      <c r="G83" s="203">
        <v>6.4344000000000001</v>
      </c>
      <c r="H83" s="203">
        <v>7269</v>
      </c>
      <c r="I83" s="205">
        <v>3271</v>
      </c>
      <c r="J83" s="203">
        <v>124</v>
      </c>
      <c r="K83" s="203">
        <v>588</v>
      </c>
      <c r="L83" s="203">
        <v>147</v>
      </c>
      <c r="M83" s="203">
        <v>130</v>
      </c>
      <c r="N83" s="203">
        <v>719</v>
      </c>
      <c r="O83" s="203" t="s">
        <v>717</v>
      </c>
      <c r="P83" s="217" t="s">
        <v>796</v>
      </c>
      <c r="Q83" s="203" t="s">
        <v>797</v>
      </c>
      <c r="R83" s="203" t="s">
        <v>460</v>
      </c>
      <c r="S83" s="203" t="s">
        <v>481</v>
      </c>
    </row>
    <row r="84" spans="1:19" ht="15.95">
      <c r="A84" s="200"/>
      <c r="B84" s="204">
        <v>82</v>
      </c>
      <c r="C84" s="203" t="s">
        <v>460</v>
      </c>
      <c r="D84" s="203" t="s">
        <v>481</v>
      </c>
      <c r="E84" s="203" t="s">
        <v>484</v>
      </c>
      <c r="F84" s="203">
        <v>46.214199999999998</v>
      </c>
      <c r="G84" s="203">
        <v>6.2590000000000003</v>
      </c>
      <c r="H84" s="203">
        <v>3440</v>
      </c>
      <c r="I84" s="205">
        <v>1548</v>
      </c>
      <c r="J84" s="203">
        <v>58</v>
      </c>
      <c r="K84" s="203">
        <v>278</v>
      </c>
      <c r="L84" s="203">
        <v>69</v>
      </c>
      <c r="M84" s="203">
        <v>61</v>
      </c>
      <c r="N84" s="203">
        <v>340</v>
      </c>
      <c r="O84" s="203" t="s">
        <v>717</v>
      </c>
      <c r="P84" s="203" t="s">
        <v>798</v>
      </c>
      <c r="Q84" s="203" t="s">
        <v>799</v>
      </c>
      <c r="R84" s="203" t="s">
        <v>460</v>
      </c>
      <c r="S84" s="203" t="s">
        <v>481</v>
      </c>
    </row>
    <row r="85" spans="1:19" ht="15.95">
      <c r="A85" s="200"/>
      <c r="B85" s="204">
        <v>83</v>
      </c>
      <c r="C85" s="203" t="s">
        <v>460</v>
      </c>
      <c r="D85" s="203" t="s">
        <v>481</v>
      </c>
      <c r="E85" s="203" t="s">
        <v>485</v>
      </c>
      <c r="F85" s="203">
        <v>46.3125</v>
      </c>
      <c r="G85" s="203">
        <v>6.0841000000000003</v>
      </c>
      <c r="H85" s="203">
        <v>9524</v>
      </c>
      <c r="I85" s="205">
        <v>4285</v>
      </c>
      <c r="J85" s="203">
        <v>162</v>
      </c>
      <c r="K85" s="203">
        <v>771</v>
      </c>
      <c r="L85" s="203">
        <v>192</v>
      </c>
      <c r="M85" s="203">
        <v>171</v>
      </c>
      <c r="N85" s="203">
        <v>942</v>
      </c>
      <c r="O85" s="203" t="s">
        <v>717</v>
      </c>
      <c r="P85" s="203" t="s">
        <v>800</v>
      </c>
      <c r="Q85" s="203" t="s">
        <v>801</v>
      </c>
      <c r="R85" s="203" t="s">
        <v>460</v>
      </c>
      <c r="S85" s="203" t="s">
        <v>481</v>
      </c>
    </row>
    <row r="86" spans="1:19" ht="15.95">
      <c r="A86" s="200"/>
      <c r="B86" s="204">
        <v>84</v>
      </c>
      <c r="C86" s="203" t="s">
        <v>460</v>
      </c>
      <c r="D86" s="203" t="s">
        <v>486</v>
      </c>
      <c r="E86" s="203" t="s">
        <v>487</v>
      </c>
      <c r="F86" s="203">
        <v>45.756500000000003</v>
      </c>
      <c r="G86" s="203">
        <v>5.7633000000000001</v>
      </c>
      <c r="H86" s="203">
        <v>21000</v>
      </c>
      <c r="I86" s="205">
        <v>9450</v>
      </c>
      <c r="J86" s="203">
        <v>359</v>
      </c>
      <c r="K86" s="203">
        <v>1701</v>
      </c>
      <c r="L86" s="203">
        <v>425</v>
      </c>
      <c r="M86" s="203">
        <v>378</v>
      </c>
      <c r="N86" s="203">
        <v>2079</v>
      </c>
      <c r="O86" s="203" t="s">
        <v>717</v>
      </c>
      <c r="P86" s="203" t="s">
        <v>802</v>
      </c>
      <c r="Q86" s="203" t="s">
        <v>803</v>
      </c>
      <c r="R86" s="203" t="s">
        <v>460</v>
      </c>
      <c r="S86" s="203" t="s">
        <v>486</v>
      </c>
    </row>
    <row r="87" spans="1:19" ht="15.95">
      <c r="A87" s="200"/>
      <c r="B87" s="204">
        <v>85</v>
      </c>
      <c r="C87" s="203" t="s">
        <v>460</v>
      </c>
      <c r="D87" s="203" t="s">
        <v>486</v>
      </c>
      <c r="E87" s="203" t="s">
        <v>488</v>
      </c>
      <c r="F87" s="203">
        <v>45.8504</v>
      </c>
      <c r="G87" s="203">
        <v>6.0743999999999998</v>
      </c>
      <c r="H87" s="203">
        <v>7015</v>
      </c>
      <c r="I87" s="205">
        <v>3156</v>
      </c>
      <c r="J87" s="203">
        <v>119</v>
      </c>
      <c r="K87" s="203">
        <v>568</v>
      </c>
      <c r="L87" s="203">
        <v>142</v>
      </c>
      <c r="M87" s="203">
        <v>126</v>
      </c>
      <c r="N87" s="203">
        <v>694</v>
      </c>
      <c r="O87" s="203" t="s">
        <v>717</v>
      </c>
      <c r="P87" s="203" t="s">
        <v>804</v>
      </c>
      <c r="Q87" s="203" t="s">
        <v>805</v>
      </c>
      <c r="R87" s="203" t="s">
        <v>460</v>
      </c>
      <c r="S87" s="203" t="s">
        <v>486</v>
      </c>
    </row>
    <row r="88" spans="1:19" ht="15.95">
      <c r="A88" s="200"/>
      <c r="B88" s="204">
        <v>86</v>
      </c>
      <c r="C88" s="203" t="s">
        <v>460</v>
      </c>
      <c r="D88" s="203" t="s">
        <v>486</v>
      </c>
      <c r="E88" s="203" t="s">
        <v>489</v>
      </c>
      <c r="F88" s="203">
        <v>45.691699999999997</v>
      </c>
      <c r="G88" s="203">
        <v>5.9264999999999999</v>
      </c>
      <c r="H88" s="203">
        <v>3108</v>
      </c>
      <c r="I88" s="205">
        <v>1398</v>
      </c>
      <c r="J88" s="203">
        <v>53</v>
      </c>
      <c r="K88" s="203">
        <v>251</v>
      </c>
      <c r="L88" s="203">
        <v>62</v>
      </c>
      <c r="M88" s="203">
        <v>55</v>
      </c>
      <c r="N88" s="203">
        <v>307</v>
      </c>
      <c r="O88" s="203" t="s">
        <v>717</v>
      </c>
      <c r="P88" s="203" t="s">
        <v>806</v>
      </c>
      <c r="Q88" s="203" t="s">
        <v>807</v>
      </c>
      <c r="R88" s="203" t="s">
        <v>460</v>
      </c>
      <c r="S88" s="203" t="s">
        <v>486</v>
      </c>
    </row>
    <row r="89" spans="1:19" ht="15.95">
      <c r="A89" s="200"/>
      <c r="B89" s="204">
        <v>87</v>
      </c>
      <c r="C89" s="203" t="s">
        <v>460</v>
      </c>
      <c r="D89" s="203" t="s">
        <v>486</v>
      </c>
      <c r="E89" s="203" t="s">
        <v>490</v>
      </c>
      <c r="F89" s="203">
        <v>45.606099999999998</v>
      </c>
      <c r="G89" s="203">
        <v>5.7972999999999999</v>
      </c>
      <c r="H89" s="203">
        <v>3336</v>
      </c>
      <c r="I89" s="205">
        <v>1501</v>
      </c>
      <c r="J89" s="203">
        <v>57</v>
      </c>
      <c r="K89" s="203">
        <v>270</v>
      </c>
      <c r="L89" s="203">
        <v>67</v>
      </c>
      <c r="M89" s="203">
        <v>60</v>
      </c>
      <c r="N89" s="203">
        <v>330</v>
      </c>
      <c r="O89" s="203" t="s">
        <v>717</v>
      </c>
      <c r="P89" s="203" t="s">
        <v>808</v>
      </c>
      <c r="Q89" s="203" t="s">
        <v>809</v>
      </c>
      <c r="R89" s="203" t="s">
        <v>460</v>
      </c>
      <c r="S89" s="203" t="s">
        <v>486</v>
      </c>
    </row>
    <row r="90" spans="1:19" ht="15.95">
      <c r="A90" s="200"/>
      <c r="B90" s="200"/>
      <c r="C90" s="200"/>
      <c r="D90" s="200"/>
      <c r="E90" s="200"/>
      <c r="F90" s="200"/>
      <c r="G90" s="200"/>
      <c r="H90" s="210">
        <v>2543494</v>
      </c>
      <c r="I90" s="210">
        <v>1144532</v>
      </c>
      <c r="J90" s="210">
        <v>43451</v>
      </c>
      <c r="K90" s="210">
        <v>205975</v>
      </c>
      <c r="L90" s="210">
        <v>51459</v>
      </c>
      <c r="M90" s="210">
        <v>45738</v>
      </c>
      <c r="N90" s="210">
        <v>251759</v>
      </c>
      <c r="O90" s="209"/>
      <c r="P90" s="209"/>
      <c r="Q90" s="209"/>
    </row>
    <row r="91" spans="1:19" ht="15.95">
      <c r="A91" s="200"/>
      <c r="B91" s="200"/>
      <c r="C91" s="200"/>
      <c r="D91" s="200"/>
      <c r="E91" s="200"/>
      <c r="F91" s="200"/>
      <c r="G91" s="200"/>
      <c r="H91" s="200"/>
      <c r="I91" s="200"/>
      <c r="J91" s="209"/>
      <c r="K91" s="209"/>
      <c r="L91" s="209"/>
      <c r="M91" s="209"/>
      <c r="N91" s="209"/>
      <c r="O91" s="209"/>
      <c r="P91" s="209"/>
      <c r="Q91" s="209"/>
    </row>
    <row r="92" spans="1:19" ht="15.95">
      <c r="A92" s="200"/>
      <c r="B92" s="200"/>
      <c r="C92" s="200"/>
      <c r="D92" s="200"/>
      <c r="E92" s="200"/>
      <c r="F92" s="200"/>
      <c r="G92" s="200"/>
      <c r="H92" s="200"/>
      <c r="I92" s="200"/>
      <c r="J92" s="209"/>
      <c r="K92" s="209"/>
      <c r="L92" s="209"/>
      <c r="M92" s="209"/>
      <c r="N92" s="209"/>
      <c r="O92" s="209"/>
      <c r="P92" s="209"/>
      <c r="Q92" s="209"/>
    </row>
    <row r="93" spans="1:19" ht="15.95">
      <c r="A93" s="200"/>
      <c r="B93" s="200"/>
      <c r="C93" s="200"/>
      <c r="D93" s="200"/>
      <c r="E93" s="200"/>
      <c r="F93" s="200"/>
      <c r="G93" s="200"/>
      <c r="H93" s="209"/>
      <c r="I93" s="200"/>
      <c r="J93" s="209"/>
      <c r="K93" s="209"/>
      <c r="L93" s="209"/>
      <c r="M93" s="209"/>
      <c r="N93" s="209"/>
      <c r="O93" s="209"/>
      <c r="P93" s="209"/>
      <c r="Q93" s="209"/>
    </row>
    <row r="94" spans="1:19" ht="15.95">
      <c r="A94" s="200"/>
      <c r="B94" s="200"/>
      <c r="C94" s="200"/>
      <c r="D94" s="200"/>
      <c r="E94" s="200"/>
      <c r="F94" s="200"/>
      <c r="G94" s="200"/>
      <c r="H94" s="200"/>
      <c r="I94" s="200"/>
      <c r="J94" s="200"/>
      <c r="K94" s="200"/>
      <c r="L94" s="200"/>
      <c r="M94" s="200"/>
      <c r="N94" s="200"/>
      <c r="O94" s="200"/>
      <c r="P94" s="200"/>
      <c r="Q94" s="200"/>
    </row>
    <row r="95" spans="1:19" ht="15.95">
      <c r="A95" s="200"/>
      <c r="B95" s="200"/>
      <c r="C95" s="200"/>
      <c r="D95" s="200"/>
      <c r="E95" s="200"/>
      <c r="F95" s="200"/>
      <c r="G95" s="200"/>
      <c r="H95" s="200"/>
      <c r="I95" s="200"/>
      <c r="J95" s="200"/>
      <c r="K95" s="200"/>
      <c r="L95" s="200"/>
      <c r="M95" s="200"/>
      <c r="N95" s="200"/>
      <c r="O95" s="200"/>
      <c r="P95" s="200"/>
      <c r="Q95" s="200"/>
    </row>
    <row r="96" spans="1:19" ht="15.95">
      <c r="A96" s="200"/>
      <c r="B96" s="200"/>
      <c r="C96" s="200"/>
      <c r="D96" s="200"/>
      <c r="E96" s="200"/>
      <c r="F96" s="200"/>
      <c r="G96" s="200"/>
      <c r="H96" s="200"/>
      <c r="I96" s="200"/>
      <c r="J96" s="200"/>
      <c r="K96" s="200"/>
      <c r="L96" s="200"/>
      <c r="M96" s="200"/>
      <c r="N96" s="200"/>
      <c r="O96" s="200"/>
      <c r="P96" s="200"/>
      <c r="Q96" s="200"/>
    </row>
    <row r="97" spans="1:17" ht="15.95">
      <c r="A97" s="200"/>
      <c r="B97" s="200"/>
      <c r="C97" s="200"/>
      <c r="D97" s="200"/>
      <c r="E97" s="200"/>
      <c r="F97" s="200"/>
      <c r="G97" s="200"/>
      <c r="H97" s="200"/>
      <c r="I97" s="200"/>
      <c r="J97" s="200"/>
      <c r="K97" s="200"/>
      <c r="L97" s="200"/>
      <c r="M97" s="200"/>
      <c r="N97" s="200"/>
      <c r="O97" s="200"/>
      <c r="P97" s="200"/>
      <c r="Q97" s="200"/>
    </row>
    <row r="98" spans="1:17" ht="15.95">
      <c r="A98" s="200"/>
      <c r="B98" s="200"/>
      <c r="C98" s="200"/>
      <c r="D98" s="200"/>
      <c r="E98" s="200"/>
      <c r="F98" s="200"/>
      <c r="G98" s="200"/>
      <c r="H98" s="200"/>
      <c r="I98" s="200"/>
      <c r="J98" s="200"/>
      <c r="K98" s="200"/>
      <c r="L98" s="200"/>
      <c r="M98" s="200"/>
      <c r="N98" s="200"/>
      <c r="O98" s="200"/>
      <c r="P98" s="200"/>
      <c r="Q98" s="200"/>
    </row>
    <row r="99" spans="1:17" ht="15.95">
      <c r="A99" s="200"/>
      <c r="B99" s="200"/>
      <c r="C99" s="200"/>
      <c r="D99" s="200"/>
      <c r="E99" s="200"/>
      <c r="F99" s="200"/>
      <c r="G99" s="200"/>
      <c r="H99" s="200"/>
      <c r="I99" s="200"/>
      <c r="J99" s="200"/>
      <c r="K99" s="200"/>
      <c r="L99" s="200"/>
      <c r="M99" s="200"/>
      <c r="N99" s="200"/>
      <c r="O99" s="200"/>
      <c r="P99" s="200"/>
      <c r="Q99" s="200"/>
    </row>
    <row r="100" spans="1:17" ht="15.95">
      <c r="A100" s="200"/>
      <c r="B100" s="200"/>
      <c r="C100" s="200"/>
      <c r="D100" s="200"/>
      <c r="E100" s="200"/>
      <c r="F100" s="200"/>
      <c r="G100" s="200"/>
      <c r="H100" s="200"/>
      <c r="I100" s="200"/>
      <c r="J100" s="200"/>
      <c r="K100" s="200"/>
      <c r="L100" s="200"/>
      <c r="M100" s="200"/>
      <c r="N100" s="200"/>
      <c r="O100" s="200"/>
      <c r="P100" s="200"/>
      <c r="Q100" s="200"/>
    </row>
    <row r="101" spans="1:17" ht="15.95">
      <c r="A101" s="200"/>
      <c r="B101" s="200"/>
      <c r="C101" s="200"/>
      <c r="D101" s="200"/>
      <c r="E101" s="200"/>
      <c r="F101" s="200"/>
      <c r="G101" s="200"/>
      <c r="H101" s="209"/>
      <c r="I101" s="209"/>
      <c r="J101" s="200"/>
      <c r="K101" s="200"/>
      <c r="L101" s="200"/>
      <c r="M101" s="200"/>
      <c r="N101" s="200"/>
      <c r="O101" s="200"/>
      <c r="P101" s="200"/>
      <c r="Q101" s="200"/>
    </row>
    <row r="102" spans="1:17" ht="15.95">
      <c r="A102" s="200"/>
      <c r="B102" s="200"/>
      <c r="C102" s="200"/>
      <c r="D102" s="200"/>
      <c r="E102" s="200"/>
      <c r="F102" s="200"/>
      <c r="G102" s="200"/>
      <c r="H102" s="209"/>
      <c r="I102" s="209"/>
      <c r="J102" s="200"/>
      <c r="K102" s="200"/>
      <c r="L102" s="200"/>
      <c r="M102" s="200"/>
      <c r="N102" s="200"/>
      <c r="O102" s="200"/>
      <c r="P102" s="200"/>
      <c r="Q102" s="200"/>
    </row>
    <row r="103" spans="1:17" ht="15.95">
      <c r="A103" s="200"/>
      <c r="B103" s="200"/>
      <c r="C103" s="200"/>
      <c r="D103" s="200"/>
      <c r="E103" s="200"/>
      <c r="F103" s="200"/>
      <c r="G103" s="200"/>
      <c r="H103" s="209"/>
      <c r="I103" s="209"/>
      <c r="J103" s="200"/>
      <c r="K103" s="200"/>
      <c r="L103" s="200"/>
      <c r="M103" s="200"/>
      <c r="N103" s="200"/>
      <c r="O103" s="200"/>
      <c r="P103" s="200"/>
      <c r="Q103" s="200"/>
    </row>
    <row r="104" spans="1:17" ht="15.95">
      <c r="A104" s="200"/>
      <c r="B104" s="200"/>
      <c r="C104" s="200"/>
      <c r="D104" s="200"/>
      <c r="E104" s="200"/>
      <c r="F104" s="200"/>
      <c r="G104" s="200"/>
      <c r="H104" s="209"/>
      <c r="I104" s="209"/>
      <c r="J104" s="200"/>
      <c r="K104" s="200"/>
      <c r="L104" s="200"/>
      <c r="M104" s="200"/>
      <c r="N104" s="200"/>
      <c r="O104" s="200"/>
      <c r="P104" s="200"/>
      <c r="Q104" s="200"/>
    </row>
  </sheetData>
  <mergeCells count="2">
    <mergeCell ref="F1:G1"/>
    <mergeCell ref="J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DE80-898F-407D-B1C3-66808C38474C}">
  <dimension ref="A1:HSD18"/>
  <sheetViews>
    <sheetView workbookViewId="0">
      <selection activeCell="A3" sqref="A3"/>
    </sheetView>
  </sheetViews>
  <sheetFormatPr defaultRowHeight="12.6"/>
  <cols>
    <col min="1" max="2" width="66.28515625" customWidth="1"/>
    <col min="3" max="3" width="66.28515625" style="38" customWidth="1"/>
    <col min="4" max="4" width="68.5703125" customWidth="1"/>
    <col min="5" max="5" width="68.28515625" style="38" customWidth="1"/>
    <col min="6" max="9" width="20.7109375" hidden="1" customWidth="1"/>
    <col min="10" max="10" width="3" hidden="1" customWidth="1"/>
    <col min="11" max="11" width="84" style="38" customWidth="1"/>
  </cols>
  <sheetData>
    <row r="1" spans="1:5906" ht="18.600000000000001" thickBot="1">
      <c r="A1" s="410" t="s">
        <v>76</v>
      </c>
      <c r="B1" s="410"/>
      <c r="C1" s="410"/>
      <c r="D1" s="410"/>
      <c r="E1" s="410"/>
      <c r="F1" s="410"/>
      <c r="G1" s="410"/>
      <c r="H1" s="410"/>
      <c r="I1" s="410"/>
      <c r="J1" s="410"/>
      <c r="K1" s="410"/>
    </row>
    <row r="2" spans="1:5906" s="271" customFormat="1" ht="42.6" thickBot="1">
      <c r="A2" s="268" t="s">
        <v>77</v>
      </c>
      <c r="B2" s="269" t="s">
        <v>78</v>
      </c>
      <c r="C2" s="269" t="s">
        <v>79</v>
      </c>
      <c r="D2" s="269" t="s">
        <v>80</v>
      </c>
      <c r="E2" s="270" t="s">
        <v>81</v>
      </c>
      <c r="F2" s="270"/>
      <c r="G2" s="270"/>
      <c r="H2" s="270"/>
      <c r="I2" s="270"/>
      <c r="J2" s="270"/>
      <c r="K2" s="270" t="s">
        <v>82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row>
    <row r="3" spans="1:5906" ht="196.5" thickBot="1">
      <c r="A3" s="272" t="s">
        <v>83</v>
      </c>
      <c r="B3" s="273" t="s">
        <v>84</v>
      </c>
      <c r="C3" s="274" t="s">
        <v>84</v>
      </c>
      <c r="D3" s="274" t="s">
        <v>85</v>
      </c>
      <c r="E3" s="275" t="s">
        <v>86</v>
      </c>
      <c r="F3" s="276" t="s">
        <v>87</v>
      </c>
      <c r="G3" s="276" t="s">
        <v>88</v>
      </c>
      <c r="H3" s="276" t="s">
        <v>89</v>
      </c>
      <c r="I3" s="276" t="s">
        <v>90</v>
      </c>
      <c r="J3" s="276" t="s">
        <v>91</v>
      </c>
      <c r="K3" s="277" t="s">
        <v>92</v>
      </c>
    </row>
    <row r="4" spans="1:5906" ht="15.95" thickBot="1">
      <c r="A4" s="411" t="s">
        <v>93</v>
      </c>
      <c r="B4" s="412"/>
      <c r="C4" s="412"/>
      <c r="D4" s="412"/>
      <c r="E4" s="412"/>
      <c r="F4" s="412"/>
      <c r="G4" s="412"/>
      <c r="H4" s="412"/>
      <c r="I4" s="412"/>
      <c r="J4" s="412"/>
      <c r="K4" s="413"/>
    </row>
    <row r="5" spans="1:5906" ht="252">
      <c r="A5" s="278" t="s">
        <v>94</v>
      </c>
      <c r="B5" s="278" t="s">
        <v>95</v>
      </c>
      <c r="C5" s="279" t="s">
        <v>96</v>
      </c>
      <c r="D5" s="279" t="s">
        <v>97</v>
      </c>
      <c r="E5" s="280" t="s">
        <v>98</v>
      </c>
      <c r="F5" s="281"/>
      <c r="G5" s="281"/>
      <c r="H5" s="281"/>
      <c r="I5" s="281"/>
      <c r="J5" s="281"/>
      <c r="K5" s="282" t="s">
        <v>99</v>
      </c>
    </row>
    <row r="6" spans="1:5906" ht="237.95">
      <c r="A6" s="283" t="s">
        <v>100</v>
      </c>
      <c r="B6" s="284" t="s">
        <v>101</v>
      </c>
      <c r="C6" s="284" t="s">
        <v>102</v>
      </c>
      <c r="D6" s="284" t="s">
        <v>103</v>
      </c>
      <c r="E6" s="284" t="s">
        <v>104</v>
      </c>
      <c r="F6" s="285" t="s">
        <v>105</v>
      </c>
      <c r="G6" s="285" t="s">
        <v>106</v>
      </c>
      <c r="H6" s="285" t="s">
        <v>105</v>
      </c>
      <c r="I6" s="285" t="s">
        <v>106</v>
      </c>
      <c r="J6" s="285" t="s">
        <v>106</v>
      </c>
      <c r="K6" s="286" t="s">
        <v>107</v>
      </c>
    </row>
    <row r="7" spans="1:5906" ht="237.95">
      <c r="A7" s="281" t="s">
        <v>108</v>
      </c>
      <c r="B7" s="287" t="s">
        <v>109</v>
      </c>
      <c r="C7" s="61" t="s">
        <v>110</v>
      </c>
      <c r="D7" s="279" t="s">
        <v>111</v>
      </c>
      <c r="E7" s="288" t="s">
        <v>112</v>
      </c>
      <c r="F7" s="289"/>
      <c r="G7" s="289"/>
      <c r="H7" s="289"/>
      <c r="I7" s="289"/>
      <c r="J7" s="289"/>
      <c r="K7" s="282" t="s">
        <v>113</v>
      </c>
    </row>
    <row r="8" spans="1:5906" ht="174.95">
      <c r="A8" s="290" t="s">
        <v>114</v>
      </c>
      <c r="B8" s="282" t="s">
        <v>115</v>
      </c>
      <c r="C8" s="291" t="s">
        <v>116</v>
      </c>
      <c r="D8" s="284" t="s">
        <v>117</v>
      </c>
      <c r="E8" s="284" t="s">
        <v>118</v>
      </c>
      <c r="F8" s="285" t="s">
        <v>105</v>
      </c>
      <c r="G8" s="285" t="s">
        <v>106</v>
      </c>
      <c r="H8" s="285" t="s">
        <v>105</v>
      </c>
      <c r="I8" s="285" t="s">
        <v>106</v>
      </c>
      <c r="J8" s="285" t="s">
        <v>106</v>
      </c>
      <c r="K8" s="61" t="s">
        <v>119</v>
      </c>
    </row>
    <row r="9" spans="1:5906" ht="98.1">
      <c r="A9" s="290" t="s">
        <v>120</v>
      </c>
      <c r="B9" s="284" t="s">
        <v>121</v>
      </c>
      <c r="C9" s="284" t="s">
        <v>122</v>
      </c>
      <c r="D9" s="284" t="s">
        <v>123</v>
      </c>
      <c r="E9" s="284" t="s">
        <v>124</v>
      </c>
      <c r="F9" s="285" t="s">
        <v>105</v>
      </c>
      <c r="G9" s="285" t="s">
        <v>106</v>
      </c>
      <c r="H9" s="285" t="s">
        <v>105</v>
      </c>
      <c r="I9" s="285" t="s">
        <v>106</v>
      </c>
      <c r="J9" s="285" t="s">
        <v>106</v>
      </c>
      <c r="K9" s="286" t="s">
        <v>125</v>
      </c>
    </row>
    <row r="10" spans="1:5906" ht="210">
      <c r="A10" s="290" t="s">
        <v>126</v>
      </c>
      <c r="B10" s="284" t="s">
        <v>127</v>
      </c>
      <c r="C10" s="284" t="s">
        <v>128</v>
      </c>
      <c r="D10" s="284" t="s">
        <v>129</v>
      </c>
      <c r="E10" s="284" t="s">
        <v>130</v>
      </c>
      <c r="F10" s="285"/>
      <c r="G10" s="285"/>
      <c r="H10" s="285"/>
      <c r="I10" s="285"/>
      <c r="J10" s="285"/>
      <c r="K10" s="286" t="s">
        <v>131</v>
      </c>
    </row>
    <row r="11" spans="1:5906" ht="182.1">
      <c r="A11" s="292" t="s">
        <v>132</v>
      </c>
      <c r="B11" s="293" t="s">
        <v>133</v>
      </c>
      <c r="C11" s="294" t="s">
        <v>134</v>
      </c>
      <c r="D11" s="293" t="s">
        <v>135</v>
      </c>
      <c r="E11" s="294" t="s">
        <v>136</v>
      </c>
      <c r="F11" s="285" t="s">
        <v>105</v>
      </c>
      <c r="G11" s="285" t="s">
        <v>106</v>
      </c>
      <c r="H11" s="285" t="s">
        <v>105</v>
      </c>
      <c r="I11" s="285" t="s">
        <v>106</v>
      </c>
      <c r="J11" s="285" t="s">
        <v>106</v>
      </c>
      <c r="K11" s="286" t="s">
        <v>137</v>
      </c>
    </row>
    <row r="12" spans="1:5906" ht="14.1">
      <c r="A12" s="414" t="s">
        <v>138</v>
      </c>
      <c r="B12" s="415"/>
      <c r="C12" s="415"/>
      <c r="D12" s="415"/>
      <c r="E12" s="415"/>
      <c r="F12" s="415"/>
      <c r="G12" s="415"/>
      <c r="H12" s="415"/>
      <c r="I12" s="415"/>
      <c r="J12" s="415"/>
      <c r="K12" s="416"/>
    </row>
    <row r="13" spans="1:5906" ht="142.5">
      <c r="A13" s="285" t="s">
        <v>139</v>
      </c>
      <c r="B13" s="286" t="s">
        <v>140</v>
      </c>
      <c r="C13" s="286" t="s">
        <v>141</v>
      </c>
      <c r="D13" s="286" t="s">
        <v>142</v>
      </c>
      <c r="E13" s="286" t="s">
        <v>143</v>
      </c>
      <c r="F13" s="285" t="s">
        <v>105</v>
      </c>
      <c r="G13" s="285" t="s">
        <v>106</v>
      </c>
      <c r="H13" s="285" t="s">
        <v>105</v>
      </c>
      <c r="I13" s="285" t="s">
        <v>106</v>
      </c>
      <c r="J13" s="285" t="s">
        <v>106</v>
      </c>
      <c r="K13" s="286" t="s">
        <v>144</v>
      </c>
    </row>
    <row r="14" spans="1:5906" ht="183.6">
      <c r="A14" s="285" t="s">
        <v>145</v>
      </c>
      <c r="B14" s="286" t="s">
        <v>146</v>
      </c>
      <c r="C14" s="286" t="s">
        <v>147</v>
      </c>
      <c r="D14" s="286" t="s">
        <v>148</v>
      </c>
      <c r="E14" s="295" t="s">
        <v>149</v>
      </c>
      <c r="F14" s="285"/>
      <c r="G14" s="285"/>
      <c r="H14" s="285"/>
      <c r="I14" s="285"/>
      <c r="J14" s="285"/>
      <c r="K14" s="286" t="s">
        <v>150</v>
      </c>
    </row>
    <row r="15" spans="1:5906" ht="128.1">
      <c r="A15" s="285" t="s">
        <v>151</v>
      </c>
      <c r="B15" s="285" t="s">
        <v>152</v>
      </c>
      <c r="C15" s="286" t="s">
        <v>153</v>
      </c>
      <c r="D15" s="286" t="s">
        <v>154</v>
      </c>
      <c r="E15" s="284" t="s">
        <v>155</v>
      </c>
      <c r="F15" s="285"/>
      <c r="G15" s="285"/>
      <c r="H15" s="285"/>
      <c r="I15" s="285"/>
      <c r="J15" s="285"/>
      <c r="K15" s="286" t="s">
        <v>156</v>
      </c>
    </row>
    <row r="16" spans="1:5906" ht="126">
      <c r="A16" s="285" t="s">
        <v>157</v>
      </c>
      <c r="B16" s="286" t="s">
        <v>158</v>
      </c>
      <c r="C16" s="286" t="s">
        <v>159</v>
      </c>
      <c r="D16" s="286" t="s">
        <v>160</v>
      </c>
      <c r="E16" s="284" t="s">
        <v>161</v>
      </c>
      <c r="F16" s="285"/>
      <c r="G16" s="285"/>
      <c r="H16" s="285"/>
      <c r="I16" s="285"/>
      <c r="J16" s="285"/>
      <c r="K16" s="286" t="s">
        <v>162</v>
      </c>
    </row>
    <row r="17" spans="1:11" ht="69.95">
      <c r="A17" s="285" t="s">
        <v>163</v>
      </c>
      <c r="B17" s="286" t="s">
        <v>164</v>
      </c>
      <c r="C17" s="286" t="s">
        <v>165</v>
      </c>
      <c r="D17" s="286" t="s">
        <v>166</v>
      </c>
      <c r="E17" s="61" t="s">
        <v>167</v>
      </c>
      <c r="F17" s="285"/>
      <c r="G17" s="285"/>
      <c r="H17" s="285"/>
      <c r="I17" s="285"/>
      <c r="J17" s="285"/>
      <c r="K17" s="61" t="s">
        <v>168</v>
      </c>
    </row>
    <row r="18" spans="1:11" ht="14.1">
      <c r="E18" s="279"/>
    </row>
  </sheetData>
  <mergeCells count="3">
    <mergeCell ref="A1:K1"/>
    <mergeCell ref="A4:K4"/>
    <mergeCell ref="A12: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A41-EE1F-44B2-A444-FCE32355399F}">
  <dimension ref="A2:K40"/>
  <sheetViews>
    <sheetView workbookViewId="0">
      <selection sqref="A1:XFD1048576"/>
    </sheetView>
  </sheetViews>
  <sheetFormatPr defaultColWidth="19.140625" defaultRowHeight="12"/>
  <cols>
    <col min="1" max="1" width="19.140625" style="100"/>
    <col min="2" max="2" width="69.140625" style="100" bestFit="1" customWidth="1"/>
    <col min="3" max="5" width="45" style="100" customWidth="1"/>
    <col min="6" max="6" width="65.7109375" style="100" customWidth="1"/>
    <col min="7" max="16384" width="19.140625" style="100"/>
  </cols>
  <sheetData>
    <row r="2" spans="1:11">
      <c r="A2" s="101" t="s">
        <v>169</v>
      </c>
      <c r="B2" s="101" t="s">
        <v>170</v>
      </c>
      <c r="C2" s="101" t="s">
        <v>171</v>
      </c>
      <c r="D2" s="101" t="s">
        <v>172</v>
      </c>
      <c r="E2" s="102" t="s">
        <v>173</v>
      </c>
      <c r="F2" s="103" t="s">
        <v>174</v>
      </c>
      <c r="G2" s="103" t="s">
        <v>175</v>
      </c>
      <c r="H2" s="418" t="s">
        <v>176</v>
      </c>
    </row>
    <row r="3" spans="1:11">
      <c r="A3" s="101"/>
      <c r="B3" s="186" t="s">
        <v>177</v>
      </c>
      <c r="C3" s="101"/>
      <c r="D3" s="101"/>
      <c r="E3" s="101"/>
      <c r="F3" s="101"/>
      <c r="G3" s="103"/>
      <c r="H3" s="419"/>
    </row>
    <row r="4" spans="1:11" ht="23.1">
      <c r="A4" s="95" t="s">
        <v>178</v>
      </c>
      <c r="B4" s="104" t="s">
        <v>179</v>
      </c>
      <c r="C4" s="106" t="s">
        <v>180</v>
      </c>
      <c r="D4" s="106" t="s">
        <v>181</v>
      </c>
      <c r="E4" s="106" t="s">
        <v>182</v>
      </c>
      <c r="F4" s="104" t="s">
        <v>183</v>
      </c>
      <c r="G4" s="113" t="s">
        <v>184</v>
      </c>
      <c r="H4" s="114"/>
    </row>
    <row r="5" spans="1:11" ht="34.5">
      <c r="A5" s="96" t="s">
        <v>185</v>
      </c>
      <c r="B5" s="104" t="s">
        <v>186</v>
      </c>
      <c r="C5" s="106" t="s">
        <v>187</v>
      </c>
      <c r="D5" s="106" t="s">
        <v>188</v>
      </c>
      <c r="E5" s="106" t="s">
        <v>189</v>
      </c>
      <c r="F5" s="104" t="s">
        <v>190</v>
      </c>
      <c r="G5" s="113" t="s">
        <v>184</v>
      </c>
      <c r="H5" s="114"/>
    </row>
    <row r="6" spans="1:11" ht="45.95">
      <c r="A6" s="96" t="s">
        <v>191</v>
      </c>
      <c r="B6" s="104" t="s">
        <v>192</v>
      </c>
      <c r="C6" s="106" t="s">
        <v>193</v>
      </c>
      <c r="D6" s="106" t="s">
        <v>194</v>
      </c>
      <c r="E6" s="106" t="s">
        <v>195</v>
      </c>
      <c r="F6" s="107" t="s">
        <v>196</v>
      </c>
      <c r="G6" s="113" t="s">
        <v>197</v>
      </c>
      <c r="H6" s="114"/>
    </row>
    <row r="7" spans="1:11">
      <c r="A7" s="97"/>
      <c r="B7" s="420" t="s">
        <v>198</v>
      </c>
      <c r="C7" s="420"/>
      <c r="D7" s="420"/>
      <c r="E7" s="420"/>
      <c r="F7" s="108"/>
      <c r="G7" s="105"/>
    </row>
    <row r="8" spans="1:11" ht="34.5">
      <c r="A8" s="96" t="s">
        <v>199</v>
      </c>
      <c r="B8" s="104" t="s">
        <v>200</v>
      </c>
      <c r="C8" s="106" t="s">
        <v>201</v>
      </c>
      <c r="D8" s="106" t="s">
        <v>202</v>
      </c>
      <c r="E8" s="106" t="s">
        <v>203</v>
      </c>
      <c r="F8" s="104" t="s">
        <v>204</v>
      </c>
      <c r="G8" s="105" t="s">
        <v>184</v>
      </c>
      <c r="H8" s="109" t="s">
        <v>205</v>
      </c>
    </row>
    <row r="9" spans="1:11" ht="69">
      <c r="A9" s="96" t="s">
        <v>206</v>
      </c>
      <c r="B9" s="104" t="s">
        <v>207</v>
      </c>
      <c r="C9" s="104" t="s">
        <v>208</v>
      </c>
      <c r="D9" s="104" t="s">
        <v>209</v>
      </c>
      <c r="E9" s="104" t="s">
        <v>210</v>
      </c>
      <c r="F9" s="104" t="s">
        <v>211</v>
      </c>
      <c r="G9" s="105" t="s">
        <v>184</v>
      </c>
      <c r="H9" s="109" t="s">
        <v>205</v>
      </c>
    </row>
    <row r="10" spans="1:11" ht="34.5">
      <c r="A10" s="96" t="s">
        <v>212</v>
      </c>
      <c r="B10" s="104" t="s">
        <v>213</v>
      </c>
      <c r="C10" s="104" t="s">
        <v>214</v>
      </c>
      <c r="D10" s="104" t="s">
        <v>215</v>
      </c>
      <c r="E10" s="107" t="s">
        <v>216</v>
      </c>
      <c r="F10" s="104" t="s">
        <v>217</v>
      </c>
      <c r="G10" s="105" t="s">
        <v>184</v>
      </c>
      <c r="H10" s="109" t="s">
        <v>205</v>
      </c>
    </row>
    <row r="11" spans="1:11" ht="34.5">
      <c r="A11" s="96" t="s">
        <v>218</v>
      </c>
      <c r="B11" s="104" t="s">
        <v>219</v>
      </c>
      <c r="C11" s="104" t="s">
        <v>220</v>
      </c>
      <c r="D11" s="104" t="s">
        <v>221</v>
      </c>
      <c r="E11" s="104" t="s">
        <v>222</v>
      </c>
      <c r="F11" s="104" t="s">
        <v>223</v>
      </c>
      <c r="G11" s="105" t="s">
        <v>184</v>
      </c>
      <c r="H11" s="109" t="s">
        <v>205</v>
      </c>
      <c r="K11" s="104"/>
    </row>
    <row r="12" spans="1:11" ht="45.95">
      <c r="A12" s="96" t="s">
        <v>191</v>
      </c>
      <c r="B12" s="104" t="s">
        <v>224</v>
      </c>
      <c r="C12" s="104" t="s">
        <v>193</v>
      </c>
      <c r="D12" s="104" t="s">
        <v>194</v>
      </c>
      <c r="E12" s="104" t="s">
        <v>195</v>
      </c>
      <c r="F12" s="104" t="s">
        <v>196</v>
      </c>
      <c r="G12" s="105"/>
      <c r="H12" s="109" t="s">
        <v>205</v>
      </c>
      <c r="K12" s="110"/>
    </row>
    <row r="13" spans="1:11" ht="92.1">
      <c r="A13" s="97" t="s">
        <v>225</v>
      </c>
      <c r="B13" s="104" t="s">
        <v>226</v>
      </c>
      <c r="C13" s="104" t="s">
        <v>227</v>
      </c>
      <c r="D13" s="104" t="s">
        <v>228</v>
      </c>
      <c r="E13" s="104" t="s">
        <v>229</v>
      </c>
      <c r="F13" s="104" t="s">
        <v>230</v>
      </c>
      <c r="G13" s="105" t="s">
        <v>184</v>
      </c>
      <c r="H13" s="109" t="s">
        <v>205</v>
      </c>
    </row>
    <row r="14" spans="1:11">
      <c r="A14" s="97"/>
      <c r="B14" s="420" t="s">
        <v>231</v>
      </c>
      <c r="C14" s="420"/>
      <c r="D14" s="420"/>
      <c r="E14" s="420"/>
      <c r="F14" s="111"/>
      <c r="G14" s="105"/>
    </row>
    <row r="15" spans="1:11" ht="45.95">
      <c r="A15" s="308"/>
      <c r="B15" s="104" t="s">
        <v>232</v>
      </c>
      <c r="C15" s="106" t="s">
        <v>233</v>
      </c>
      <c r="D15" s="106" t="s">
        <v>234</v>
      </c>
      <c r="E15" s="106" t="s">
        <v>234</v>
      </c>
      <c r="F15" s="106" t="s">
        <v>235</v>
      </c>
      <c r="G15" s="309" t="s">
        <v>236</v>
      </c>
      <c r="H15" s="310" t="s">
        <v>205</v>
      </c>
    </row>
    <row r="16" spans="1:11">
      <c r="A16" s="96"/>
      <c r="B16" s="105"/>
      <c r="C16" s="105"/>
      <c r="D16" s="105"/>
      <c r="E16" s="105"/>
      <c r="F16" s="108"/>
      <c r="G16" s="105"/>
    </row>
    <row r="17" spans="1:8" ht="12.6" thickBot="1">
      <c r="A17" s="96"/>
      <c r="B17" s="417" t="s">
        <v>237</v>
      </c>
      <c r="C17" s="417"/>
      <c r="D17" s="417"/>
      <c r="E17" s="417"/>
      <c r="F17" s="108"/>
      <c r="G17" s="105"/>
    </row>
    <row r="18" spans="1:8" ht="23.45" thickBot="1">
      <c r="A18" s="96" t="s">
        <v>199</v>
      </c>
      <c r="B18" s="106" t="s">
        <v>238</v>
      </c>
      <c r="C18" s="105"/>
      <c r="D18" s="106" t="s">
        <v>238</v>
      </c>
      <c r="E18" s="106" t="s">
        <v>234</v>
      </c>
      <c r="F18" s="108" t="s">
        <v>234</v>
      </c>
      <c r="G18" s="113" t="s">
        <v>184</v>
      </c>
      <c r="H18" s="311" t="s">
        <v>205</v>
      </c>
    </row>
    <row r="19" spans="1:8" ht="35.1" thickBot="1">
      <c r="A19" s="96" t="s">
        <v>206</v>
      </c>
      <c r="B19" s="104" t="s">
        <v>239</v>
      </c>
      <c r="C19" s="106" t="s">
        <v>240</v>
      </c>
      <c r="D19" s="106" t="s">
        <v>234</v>
      </c>
      <c r="E19" s="106" t="s">
        <v>234</v>
      </c>
      <c r="F19" s="108" t="s">
        <v>234</v>
      </c>
      <c r="G19" s="113" t="s">
        <v>184</v>
      </c>
      <c r="H19" s="311" t="s">
        <v>205</v>
      </c>
    </row>
    <row r="20" spans="1:8" ht="35.1" thickBot="1">
      <c r="A20" s="96" t="s">
        <v>212</v>
      </c>
      <c r="B20" s="104" t="s">
        <v>241</v>
      </c>
      <c r="C20" s="106" t="s">
        <v>242</v>
      </c>
      <c r="D20" s="106" t="s">
        <v>234</v>
      </c>
      <c r="E20" s="112" t="s">
        <v>234</v>
      </c>
      <c r="F20" s="108" t="s">
        <v>234</v>
      </c>
      <c r="G20" s="113" t="s">
        <v>184</v>
      </c>
      <c r="H20" s="311" t="s">
        <v>205</v>
      </c>
    </row>
    <row r="21" spans="1:8" ht="23.45" thickBot="1">
      <c r="A21" s="96" t="s">
        <v>243</v>
      </c>
      <c r="B21" s="106" t="s">
        <v>244</v>
      </c>
      <c r="C21" s="106" t="s">
        <v>245</v>
      </c>
      <c r="D21" s="106" t="s">
        <v>246</v>
      </c>
      <c r="E21" s="105" t="s">
        <v>234</v>
      </c>
      <c r="F21" s="108" t="s">
        <v>234</v>
      </c>
      <c r="G21" s="113" t="s">
        <v>184</v>
      </c>
      <c r="H21" s="311" t="s">
        <v>205</v>
      </c>
    </row>
    <row r="22" spans="1:8" ht="46.5" thickBot="1">
      <c r="A22" s="96" t="s">
        <v>247</v>
      </c>
      <c r="B22" s="106" t="s">
        <v>248</v>
      </c>
      <c r="C22" s="312" t="s">
        <v>249</v>
      </c>
      <c r="D22" s="105" t="s">
        <v>234</v>
      </c>
      <c r="E22" s="105" t="s">
        <v>234</v>
      </c>
      <c r="F22" s="108" t="s">
        <v>234</v>
      </c>
      <c r="G22" s="309" t="s">
        <v>236</v>
      </c>
      <c r="H22" s="311" t="s">
        <v>205</v>
      </c>
    </row>
    <row r="23" spans="1:8" ht="12.6" thickBot="1">
      <c r="A23" s="98"/>
      <c r="B23" s="417" t="s">
        <v>250</v>
      </c>
      <c r="C23" s="417"/>
      <c r="D23" s="417"/>
      <c r="E23" s="417"/>
      <c r="F23" s="108"/>
      <c r="G23" s="105"/>
      <c r="H23" s="109"/>
    </row>
    <row r="24" spans="1:8" ht="35.1" thickBot="1">
      <c r="A24" s="96" t="s">
        <v>251</v>
      </c>
      <c r="B24" s="104" t="s">
        <v>252</v>
      </c>
      <c r="C24" s="104" t="s">
        <v>253</v>
      </c>
      <c r="D24" s="104" t="s">
        <v>254</v>
      </c>
      <c r="E24" s="104" t="s">
        <v>255</v>
      </c>
      <c r="F24" s="106" t="s">
        <v>256</v>
      </c>
      <c r="G24" s="113" t="s">
        <v>184</v>
      </c>
      <c r="H24" s="311" t="s">
        <v>205</v>
      </c>
    </row>
    <row r="25" spans="1:8" ht="23.45" thickBot="1">
      <c r="A25" s="96" t="s">
        <v>191</v>
      </c>
      <c r="B25" s="104" t="s">
        <v>257</v>
      </c>
      <c r="C25" s="104"/>
      <c r="D25" s="104" t="s">
        <v>258</v>
      </c>
      <c r="E25" s="104"/>
      <c r="F25" s="106"/>
      <c r="G25" s="113" t="s">
        <v>197</v>
      </c>
      <c r="H25" s="311" t="s">
        <v>205</v>
      </c>
    </row>
    <row r="26" spans="1:8" ht="35.1" thickBot="1">
      <c r="A26" s="417" t="s">
        <v>259</v>
      </c>
      <c r="B26" s="104" t="s">
        <v>260</v>
      </c>
      <c r="C26" s="104"/>
      <c r="D26" s="104" t="s">
        <v>261</v>
      </c>
      <c r="E26" s="313"/>
      <c r="F26" s="108"/>
      <c r="G26" s="105" t="s">
        <v>184</v>
      </c>
      <c r="H26" s="109" t="s">
        <v>205</v>
      </c>
    </row>
    <row r="27" spans="1:8" ht="23.45" thickBot="1">
      <c r="A27" s="417"/>
      <c r="B27" s="104" t="s">
        <v>262</v>
      </c>
      <c r="C27" s="104"/>
      <c r="D27" s="104" t="s">
        <v>263</v>
      </c>
      <c r="E27" s="313"/>
      <c r="F27" s="108"/>
      <c r="G27" s="113" t="s">
        <v>184</v>
      </c>
      <c r="H27" s="311" t="s">
        <v>205</v>
      </c>
    </row>
    <row r="28" spans="1:8" ht="12.6" thickBot="1">
      <c r="A28" s="99"/>
      <c r="B28" s="417" t="s">
        <v>264</v>
      </c>
      <c r="C28" s="417"/>
      <c r="D28" s="417"/>
      <c r="E28" s="417"/>
      <c r="F28" s="108"/>
      <c r="G28" s="105"/>
      <c r="H28" s="109"/>
    </row>
    <row r="29" spans="1:8" ht="92.45" thickBot="1">
      <c r="A29" s="97" t="s">
        <v>225</v>
      </c>
      <c r="B29" s="104" t="s">
        <v>265</v>
      </c>
      <c r="C29" s="104" t="s">
        <v>266</v>
      </c>
      <c r="D29" s="104" t="s">
        <v>234</v>
      </c>
      <c r="E29" s="104" t="s">
        <v>234</v>
      </c>
      <c r="F29" s="108" t="s">
        <v>234</v>
      </c>
      <c r="G29" s="113" t="s">
        <v>184</v>
      </c>
      <c r="H29" s="311" t="s">
        <v>205</v>
      </c>
    </row>
    <row r="30" spans="1:8" ht="46.5" thickBot="1">
      <c r="A30" s="97" t="s">
        <v>267</v>
      </c>
      <c r="B30" s="104" t="s">
        <v>268</v>
      </c>
      <c r="C30" s="104" t="s">
        <v>269</v>
      </c>
      <c r="D30" s="104" t="s">
        <v>270</v>
      </c>
      <c r="E30" s="104" t="s">
        <v>271</v>
      </c>
      <c r="F30" s="106" t="s">
        <v>272</v>
      </c>
      <c r="G30" s="309" t="s">
        <v>273</v>
      </c>
      <c r="H30" s="311" t="s">
        <v>205</v>
      </c>
    </row>
    <row r="31" spans="1:8" ht="46.5" thickBot="1">
      <c r="A31" s="97" t="s">
        <v>247</v>
      </c>
      <c r="B31" s="104" t="s">
        <v>274</v>
      </c>
      <c r="C31" s="313" t="s">
        <v>275</v>
      </c>
      <c r="D31" s="313" t="s">
        <v>234</v>
      </c>
      <c r="E31" s="313" t="s">
        <v>234</v>
      </c>
      <c r="F31" s="108" t="s">
        <v>234</v>
      </c>
      <c r="G31" s="309" t="s">
        <v>236</v>
      </c>
      <c r="H31" s="311" t="s">
        <v>205</v>
      </c>
    </row>
    <row r="32" spans="1:8" ht="12.6" thickBot="1">
      <c r="A32" s="97"/>
      <c r="B32" s="417" t="s">
        <v>276</v>
      </c>
      <c r="C32" s="417"/>
      <c r="D32" s="417"/>
      <c r="E32" s="417"/>
      <c r="F32" s="108"/>
      <c r="G32" s="105"/>
      <c r="H32" s="109"/>
    </row>
    <row r="33" spans="1:8" ht="23.45" thickBot="1">
      <c r="A33" s="97" t="s">
        <v>277</v>
      </c>
      <c r="B33" s="104" t="s">
        <v>278</v>
      </c>
      <c r="C33" s="104"/>
      <c r="D33" s="104" t="s">
        <v>278</v>
      </c>
      <c r="E33" s="104" t="s">
        <v>234</v>
      </c>
      <c r="F33" s="108" t="s">
        <v>234</v>
      </c>
      <c r="G33" s="113" t="s">
        <v>197</v>
      </c>
      <c r="H33" s="311" t="s">
        <v>205</v>
      </c>
    </row>
    <row r="34" spans="1:8" ht="57.95" thickBot="1">
      <c r="A34" s="96" t="s">
        <v>206</v>
      </c>
      <c r="B34" s="120" t="s">
        <v>279</v>
      </c>
      <c r="C34" s="312" t="s">
        <v>280</v>
      </c>
      <c r="D34" s="312" t="s">
        <v>281</v>
      </c>
      <c r="E34" s="105" t="s">
        <v>282</v>
      </c>
      <c r="F34" s="108" t="s">
        <v>283</v>
      </c>
      <c r="G34" s="309" t="s">
        <v>284</v>
      </c>
      <c r="H34" s="311" t="s">
        <v>205</v>
      </c>
    </row>
    <row r="35" spans="1:8" ht="12.6" thickBot="1">
      <c r="A35" s="99"/>
      <c r="B35" s="420" t="s">
        <v>285</v>
      </c>
      <c r="C35" s="420"/>
      <c r="D35" s="420"/>
      <c r="E35" s="420"/>
      <c r="F35" s="108"/>
      <c r="G35" s="105"/>
      <c r="H35" s="109"/>
    </row>
    <row r="36" spans="1:8" ht="46.5" thickBot="1">
      <c r="A36" s="97" t="s">
        <v>286</v>
      </c>
      <c r="B36" s="106" t="s">
        <v>287</v>
      </c>
      <c r="C36" s="105"/>
      <c r="D36" s="106" t="s">
        <v>288</v>
      </c>
      <c r="E36" s="106" t="s">
        <v>289</v>
      </c>
      <c r="F36" s="106" t="s">
        <v>290</v>
      </c>
      <c r="G36" s="113" t="s">
        <v>184</v>
      </c>
      <c r="H36" s="311" t="s">
        <v>205</v>
      </c>
    </row>
    <row r="37" spans="1:8" ht="46.5" thickBot="1">
      <c r="A37" s="420" t="s">
        <v>291</v>
      </c>
      <c r="B37" s="106" t="s">
        <v>292</v>
      </c>
      <c r="C37" s="105"/>
      <c r="D37" s="106"/>
      <c r="E37" s="106"/>
      <c r="F37" s="108"/>
      <c r="G37" s="309" t="s">
        <v>236</v>
      </c>
      <c r="H37" s="311" t="s">
        <v>205</v>
      </c>
    </row>
    <row r="38" spans="1:8" ht="46.5" thickBot="1">
      <c r="A38" s="420"/>
      <c r="B38" s="106" t="s">
        <v>293</v>
      </c>
      <c r="C38" s="105"/>
      <c r="D38" s="106" t="s">
        <v>294</v>
      </c>
      <c r="E38" s="106" t="s">
        <v>295</v>
      </c>
      <c r="F38" s="106" t="s">
        <v>296</v>
      </c>
      <c r="G38" s="314" t="s">
        <v>236</v>
      </c>
      <c r="H38" s="109" t="s">
        <v>205</v>
      </c>
    </row>
    <row r="39" spans="1:8" ht="24.6" thickBot="1">
      <c r="A39" s="99"/>
      <c r="B39" s="420" t="s">
        <v>297</v>
      </c>
      <c r="C39" s="420"/>
      <c r="D39" s="420"/>
      <c r="E39" s="420"/>
      <c r="F39" s="108" t="s">
        <v>234</v>
      </c>
      <c r="G39" s="315" t="s">
        <v>298</v>
      </c>
      <c r="H39" s="311" t="s">
        <v>205</v>
      </c>
    </row>
    <row r="40" spans="1:8" ht="24">
      <c r="A40" s="99">
        <v>6.1</v>
      </c>
      <c r="B40" s="106" t="s">
        <v>299</v>
      </c>
      <c r="C40" s="312" t="s">
        <v>300</v>
      </c>
      <c r="D40" s="105" t="s">
        <v>234</v>
      </c>
      <c r="E40" s="105" t="s">
        <v>234</v>
      </c>
      <c r="F40" s="108"/>
      <c r="G40" s="113"/>
      <c r="H40" s="316"/>
    </row>
  </sheetData>
  <mergeCells count="11">
    <mergeCell ref="B28:E28"/>
    <mergeCell ref="B32:E32"/>
    <mergeCell ref="B35:E35"/>
    <mergeCell ref="A37:A38"/>
    <mergeCell ref="B39:E39"/>
    <mergeCell ref="A26:A27"/>
    <mergeCell ref="H2:H3"/>
    <mergeCell ref="B7:E7"/>
    <mergeCell ref="B14:E14"/>
    <mergeCell ref="B17:E17"/>
    <mergeCell ref="B23:E2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B747-C39F-4F40-AB39-BBB9C2062B51}">
  <dimension ref="A1:E42"/>
  <sheetViews>
    <sheetView workbookViewId="0">
      <selection sqref="A1:XFD1048576"/>
    </sheetView>
  </sheetViews>
  <sheetFormatPr defaultRowHeight="12.6"/>
  <cols>
    <col min="1" max="1" width="5.28515625" style="1" customWidth="1"/>
    <col min="2" max="2" width="52.42578125" style="1" customWidth="1"/>
    <col min="3" max="3" width="57.5703125" style="3" customWidth="1"/>
    <col min="4" max="5" width="16.7109375" customWidth="1"/>
  </cols>
  <sheetData>
    <row r="1" spans="1:5" ht="12.95">
      <c r="A1" s="421" t="s">
        <v>301</v>
      </c>
      <c r="B1" s="421"/>
      <c r="C1" s="421"/>
      <c r="D1" s="421"/>
      <c r="E1" s="421"/>
    </row>
    <row r="2" spans="1:5">
      <c r="A2"/>
      <c r="B2"/>
    </row>
    <row r="3" spans="1:5" ht="12.95">
      <c r="A3" s="28" t="s">
        <v>302</v>
      </c>
      <c r="B3" s="29" t="s">
        <v>303</v>
      </c>
      <c r="C3" s="30" t="s">
        <v>304</v>
      </c>
      <c r="D3" s="29" t="s">
        <v>305</v>
      </c>
      <c r="E3" s="29" t="s">
        <v>306</v>
      </c>
    </row>
    <row r="4" spans="1:5" s="2" customFormat="1" ht="12.95">
      <c r="A4" s="31"/>
      <c r="B4" s="77" t="s">
        <v>307</v>
      </c>
      <c r="C4" s="33"/>
      <c r="D4" s="32"/>
      <c r="E4" s="34"/>
    </row>
    <row r="5" spans="1:5" ht="14.45">
      <c r="A5" s="35">
        <v>1</v>
      </c>
      <c r="B5" s="51" t="s">
        <v>308</v>
      </c>
      <c r="C5" s="52" t="s">
        <v>309</v>
      </c>
      <c r="D5" s="36" t="s">
        <v>4</v>
      </c>
      <c r="E5" s="36" t="s">
        <v>4</v>
      </c>
    </row>
    <row r="6" spans="1:5">
      <c r="A6" s="35">
        <v>2</v>
      </c>
      <c r="B6" s="52" t="s">
        <v>310</v>
      </c>
      <c r="C6" s="52" t="s">
        <v>309</v>
      </c>
      <c r="D6" s="36" t="s">
        <v>4</v>
      </c>
      <c r="E6" s="36" t="s">
        <v>4</v>
      </c>
    </row>
    <row r="7" spans="1:5" ht="14.45">
      <c r="A7" s="35">
        <v>3</v>
      </c>
      <c r="B7" s="51" t="s">
        <v>311</v>
      </c>
      <c r="C7" s="52" t="s">
        <v>309</v>
      </c>
      <c r="D7" s="36" t="s">
        <v>4</v>
      </c>
      <c r="E7" s="36" t="s">
        <v>4</v>
      </c>
    </row>
    <row r="8" spans="1:5" s="2" customFormat="1" ht="13.5" thickBot="1">
      <c r="A8" s="31"/>
      <c r="B8" s="78" t="s">
        <v>312</v>
      </c>
      <c r="C8" s="53"/>
      <c r="D8" s="32"/>
      <c r="E8" s="34"/>
    </row>
    <row r="9" spans="1:5" s="2" customFormat="1" ht="348.6" thickBot="1">
      <c r="A9" s="55"/>
      <c r="B9" s="56" t="s">
        <v>313</v>
      </c>
      <c r="C9" s="54" t="s">
        <v>314</v>
      </c>
      <c r="D9" s="32" t="s">
        <v>315</v>
      </c>
      <c r="E9" s="34">
        <v>45518</v>
      </c>
    </row>
    <row r="10" spans="1:5" ht="99.95">
      <c r="A10" s="35">
        <v>4</v>
      </c>
      <c r="B10" s="49" t="s">
        <v>316</v>
      </c>
      <c r="C10" s="49" t="s">
        <v>317</v>
      </c>
      <c r="D10" s="50" t="s">
        <v>315</v>
      </c>
      <c r="E10" s="57">
        <v>45518</v>
      </c>
    </row>
    <row r="11" spans="1:5" ht="187.5">
      <c r="A11" s="35">
        <v>5</v>
      </c>
      <c r="B11" s="51" t="s">
        <v>318</v>
      </c>
      <c r="C11" s="58" t="s">
        <v>319</v>
      </c>
      <c r="D11" s="50" t="s">
        <v>315</v>
      </c>
      <c r="E11" s="57">
        <v>45518</v>
      </c>
    </row>
    <row r="12" spans="1:5" ht="62.45">
      <c r="A12" s="35">
        <v>6</v>
      </c>
      <c r="B12" s="60" t="s">
        <v>320</v>
      </c>
      <c r="C12" s="59" t="s">
        <v>321</v>
      </c>
      <c r="D12" s="50" t="s">
        <v>315</v>
      </c>
      <c r="E12" s="57">
        <v>45518</v>
      </c>
    </row>
    <row r="13" spans="1:5" ht="112.5">
      <c r="A13" s="35">
        <v>7</v>
      </c>
      <c r="B13" s="60" t="s">
        <v>322</v>
      </c>
      <c r="C13" s="61" t="s">
        <v>323</v>
      </c>
      <c r="D13" s="62" t="s">
        <v>315</v>
      </c>
      <c r="E13" s="63">
        <v>45518</v>
      </c>
    </row>
    <row r="14" spans="1:5" ht="87.6">
      <c r="A14" s="35">
        <v>8</v>
      </c>
      <c r="B14" s="60" t="s">
        <v>324</v>
      </c>
      <c r="C14" s="64" t="s">
        <v>325</v>
      </c>
      <c r="D14" s="62" t="s">
        <v>315</v>
      </c>
      <c r="E14" s="63">
        <v>45518</v>
      </c>
    </row>
    <row r="15" spans="1:5" ht="99.95">
      <c r="A15" s="35">
        <v>9</v>
      </c>
      <c r="B15" s="65" t="s">
        <v>326</v>
      </c>
      <c r="C15" s="66" t="s">
        <v>327</v>
      </c>
      <c r="D15" s="67" t="s">
        <v>315</v>
      </c>
      <c r="E15" s="68">
        <v>45518</v>
      </c>
    </row>
    <row r="16" spans="1:5" ht="75">
      <c r="A16" s="35">
        <v>10</v>
      </c>
      <c r="B16" s="69" t="s">
        <v>328</v>
      </c>
      <c r="C16" s="59" t="s">
        <v>329</v>
      </c>
      <c r="D16" s="70" t="s">
        <v>315</v>
      </c>
      <c r="E16" s="71">
        <v>45518</v>
      </c>
    </row>
    <row r="17" spans="2:5" ht="50.1">
      <c r="B17" s="75" t="s">
        <v>237</v>
      </c>
      <c r="C17" s="317" t="s">
        <v>330</v>
      </c>
      <c r="D17" s="62" t="s">
        <v>315</v>
      </c>
      <c r="E17" s="71">
        <v>45518</v>
      </c>
    </row>
    <row r="18" spans="2:5" ht="37.5">
      <c r="B18" s="73" t="s">
        <v>331</v>
      </c>
      <c r="C18" s="52" t="s">
        <v>332</v>
      </c>
      <c r="D18" s="62" t="s">
        <v>315</v>
      </c>
      <c r="E18" s="71">
        <v>45518</v>
      </c>
    </row>
    <row r="19" spans="2:5" ht="62.45">
      <c r="B19" s="60" t="s">
        <v>333</v>
      </c>
      <c r="C19" s="52" t="s">
        <v>334</v>
      </c>
      <c r="D19" s="62" t="s">
        <v>315</v>
      </c>
      <c r="E19" s="71">
        <v>45518</v>
      </c>
    </row>
    <row r="20" spans="2:5" ht="43.5">
      <c r="B20" s="60" t="s">
        <v>335</v>
      </c>
      <c r="C20" s="52" t="s">
        <v>309</v>
      </c>
      <c r="D20" s="62" t="s">
        <v>315</v>
      </c>
      <c r="E20" s="71">
        <v>45518</v>
      </c>
    </row>
    <row r="21" spans="2:5" ht="29.1">
      <c r="B21" s="60" t="s">
        <v>336</v>
      </c>
      <c r="C21" s="52" t="s">
        <v>309</v>
      </c>
      <c r="D21" s="62" t="s">
        <v>315</v>
      </c>
      <c r="E21" s="71">
        <v>45518</v>
      </c>
    </row>
    <row r="22" spans="2:5" ht="57.95">
      <c r="B22" s="60" t="s">
        <v>337</v>
      </c>
      <c r="C22" s="52" t="s">
        <v>338</v>
      </c>
      <c r="D22" s="62" t="s">
        <v>315</v>
      </c>
      <c r="E22" s="71">
        <v>45518</v>
      </c>
    </row>
    <row r="23" spans="2:5" ht="150.94999999999999">
      <c r="B23" s="76" t="s">
        <v>250</v>
      </c>
      <c r="C23" s="52" t="s">
        <v>339</v>
      </c>
      <c r="D23" s="62" t="s">
        <v>315</v>
      </c>
      <c r="E23" s="71">
        <v>45518</v>
      </c>
    </row>
    <row r="24" spans="2:5" ht="43.5">
      <c r="B24" s="51" t="s">
        <v>340</v>
      </c>
      <c r="C24" s="52" t="s">
        <v>309</v>
      </c>
      <c r="D24" s="62" t="s">
        <v>315</v>
      </c>
      <c r="E24" s="71">
        <v>45518</v>
      </c>
    </row>
    <row r="25" spans="2:5">
      <c r="B25" s="422" t="s">
        <v>341</v>
      </c>
      <c r="C25" s="423" t="s">
        <v>309</v>
      </c>
      <c r="D25" s="425" t="s">
        <v>315</v>
      </c>
      <c r="E25" s="71">
        <v>45518</v>
      </c>
    </row>
    <row r="26" spans="2:5">
      <c r="B26" s="422"/>
      <c r="C26" s="424"/>
      <c r="D26" s="426"/>
      <c r="E26" s="71">
        <v>45518</v>
      </c>
    </row>
    <row r="27" spans="2:5" ht="50.1">
      <c r="B27" s="60" t="s">
        <v>342</v>
      </c>
      <c r="C27" s="52" t="s">
        <v>343</v>
      </c>
      <c r="D27" s="62" t="s">
        <v>315</v>
      </c>
      <c r="E27" s="71">
        <v>45518</v>
      </c>
    </row>
    <row r="28" spans="2:5" ht="75">
      <c r="B28" s="60" t="s">
        <v>344</v>
      </c>
      <c r="C28" s="52" t="s">
        <v>345</v>
      </c>
      <c r="D28" s="62" t="s">
        <v>315</v>
      </c>
      <c r="E28" s="71">
        <v>45518</v>
      </c>
    </row>
    <row r="29" spans="2:5" ht="126">
      <c r="B29" s="80" t="s">
        <v>346</v>
      </c>
      <c r="C29" s="52" t="s">
        <v>347</v>
      </c>
      <c r="D29" s="62" t="s">
        <v>315</v>
      </c>
      <c r="E29" s="63">
        <v>45518</v>
      </c>
    </row>
    <row r="30" spans="2:5" ht="43.5">
      <c r="B30" s="60" t="s">
        <v>348</v>
      </c>
      <c r="C30" s="59" t="s">
        <v>349</v>
      </c>
      <c r="D30" s="62" t="s">
        <v>315</v>
      </c>
      <c r="E30" s="63">
        <v>45518</v>
      </c>
    </row>
    <row r="31" spans="2:5" ht="165">
      <c r="B31" s="60" t="s">
        <v>350</v>
      </c>
      <c r="C31" s="52" t="s">
        <v>351</v>
      </c>
      <c r="D31" s="62" t="s">
        <v>315</v>
      </c>
      <c r="E31" s="63">
        <v>45518</v>
      </c>
    </row>
    <row r="32" spans="2:5" ht="112.5">
      <c r="B32" s="60" t="s">
        <v>352</v>
      </c>
      <c r="C32" s="52" t="s">
        <v>353</v>
      </c>
      <c r="D32" s="62" t="s">
        <v>315</v>
      </c>
      <c r="E32" s="63">
        <v>45518</v>
      </c>
    </row>
    <row r="33" spans="2:5" ht="43.5">
      <c r="B33" s="80" t="s">
        <v>276</v>
      </c>
      <c r="C33" s="52" t="s">
        <v>354</v>
      </c>
      <c r="D33" s="62" t="s">
        <v>315</v>
      </c>
      <c r="E33" s="63">
        <v>45518</v>
      </c>
    </row>
    <row r="34" spans="2:5" ht="29.1">
      <c r="B34" s="51" t="s">
        <v>355</v>
      </c>
      <c r="C34" s="52" t="s">
        <v>309</v>
      </c>
      <c r="D34" s="62" t="s">
        <v>315</v>
      </c>
      <c r="E34" s="63">
        <v>45518</v>
      </c>
    </row>
    <row r="35" spans="2:5" ht="113.45">
      <c r="B35" s="51" t="s">
        <v>356</v>
      </c>
      <c r="C35" s="52" t="s">
        <v>357</v>
      </c>
      <c r="D35" s="62" t="s">
        <v>315</v>
      </c>
      <c r="E35" s="63">
        <v>45518</v>
      </c>
    </row>
    <row r="36" spans="2:5" ht="163.5">
      <c r="B36" s="80" t="s">
        <v>285</v>
      </c>
      <c r="C36" s="52" t="s">
        <v>358</v>
      </c>
      <c r="D36" s="62" t="s">
        <v>315</v>
      </c>
      <c r="E36" s="63">
        <v>45518</v>
      </c>
    </row>
    <row r="37" spans="2:5" ht="88.5">
      <c r="B37" s="60" t="s">
        <v>359</v>
      </c>
      <c r="C37" s="52" t="s">
        <v>360</v>
      </c>
      <c r="D37" s="62" t="s">
        <v>315</v>
      </c>
      <c r="E37" s="63">
        <v>45518</v>
      </c>
    </row>
    <row r="38" spans="2:5" ht="43.5">
      <c r="B38" s="60" t="s">
        <v>361</v>
      </c>
      <c r="C38" s="52" t="s">
        <v>309</v>
      </c>
      <c r="D38" s="62" t="s">
        <v>315</v>
      </c>
      <c r="E38" s="63">
        <v>45518</v>
      </c>
    </row>
    <row r="39" spans="2:5" ht="43.5">
      <c r="B39" s="79" t="s">
        <v>362</v>
      </c>
      <c r="C39" s="52" t="s">
        <v>363</v>
      </c>
      <c r="D39" s="62" t="s">
        <v>315</v>
      </c>
      <c r="E39" s="63">
        <v>45518</v>
      </c>
    </row>
    <row r="40" spans="2:5" ht="29.1">
      <c r="B40" s="80" t="s">
        <v>297</v>
      </c>
      <c r="C40" s="52" t="s">
        <v>364</v>
      </c>
      <c r="D40" s="62" t="s">
        <v>315</v>
      </c>
      <c r="E40" s="63">
        <v>45518</v>
      </c>
    </row>
    <row r="41" spans="2:5" ht="29.1">
      <c r="B41" s="51" t="s">
        <v>365</v>
      </c>
      <c r="C41" s="52" t="s">
        <v>366</v>
      </c>
      <c r="D41" s="62" t="s">
        <v>315</v>
      </c>
      <c r="E41" s="63">
        <v>45518</v>
      </c>
    </row>
    <row r="42" spans="2:5" ht="29.1">
      <c r="B42" s="51" t="s">
        <v>367</v>
      </c>
      <c r="C42" s="52" t="s">
        <v>368</v>
      </c>
      <c r="D42" s="62" t="s">
        <v>315</v>
      </c>
      <c r="E42" s="63">
        <v>45518</v>
      </c>
    </row>
  </sheetData>
  <mergeCells count="4">
    <mergeCell ref="A1:E1"/>
    <mergeCell ref="B25:B26"/>
    <mergeCell ref="C25:C26"/>
    <mergeCell ref="D25:D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2B16-964B-4FF5-BE34-CEC4311FC6E7}">
  <dimension ref="B1:R104"/>
  <sheetViews>
    <sheetView workbookViewId="0">
      <selection sqref="A1:XFD1048576"/>
    </sheetView>
  </sheetViews>
  <sheetFormatPr defaultColWidth="9.140625" defaultRowHeight="15.6"/>
  <cols>
    <col min="1" max="1" width="4.42578125" style="169" customWidth="1"/>
    <col min="2" max="2" width="9.140625" style="169"/>
    <col min="3" max="3" width="13.42578125" style="169" customWidth="1"/>
    <col min="4" max="4" width="22.28515625" style="169" bestFit="1" customWidth="1"/>
    <col min="5" max="5" width="33" style="169" bestFit="1" customWidth="1"/>
    <col min="6" max="6" width="22.42578125" style="169" bestFit="1" customWidth="1"/>
    <col min="7" max="7" width="18.7109375" style="169" bestFit="1" customWidth="1"/>
    <col min="8" max="9" width="18.7109375" style="169" customWidth="1"/>
    <col min="10" max="14" width="20.42578125" style="169" customWidth="1"/>
    <col min="15" max="16384" width="9.140625" style="169"/>
  </cols>
  <sheetData>
    <row r="1" spans="2:14" ht="18.600000000000001">
      <c r="F1" s="427" t="s">
        <v>369</v>
      </c>
      <c r="G1" s="427"/>
      <c r="H1" s="170"/>
      <c r="I1" s="170"/>
      <c r="J1" s="428"/>
      <c r="K1" s="428"/>
      <c r="L1" s="428"/>
      <c r="M1" s="428"/>
      <c r="N1" s="428"/>
    </row>
    <row r="2" spans="2:14" ht="74.099999999999994">
      <c r="B2" s="171" t="s">
        <v>370</v>
      </c>
      <c r="C2" s="171" t="s">
        <v>371</v>
      </c>
      <c r="D2" s="171" t="s">
        <v>372</v>
      </c>
      <c r="E2" s="171" t="s">
        <v>373</v>
      </c>
      <c r="F2" s="171" t="s">
        <v>374</v>
      </c>
      <c r="G2" s="171" t="s">
        <v>375</v>
      </c>
      <c r="H2" s="172" t="s">
        <v>376</v>
      </c>
      <c r="I2" s="172" t="s">
        <v>377</v>
      </c>
      <c r="J2" s="173" t="s">
        <v>378</v>
      </c>
      <c r="K2" s="173" t="s">
        <v>379</v>
      </c>
      <c r="L2" s="173" t="s">
        <v>380</v>
      </c>
      <c r="M2" s="173" t="s">
        <v>381</v>
      </c>
      <c r="N2" s="173" t="s">
        <v>382</v>
      </c>
    </row>
    <row r="3" spans="2:14">
      <c r="B3" s="174">
        <v>1</v>
      </c>
      <c r="C3" s="174" t="s">
        <v>383</v>
      </c>
      <c r="D3" s="174" t="s">
        <v>384</v>
      </c>
      <c r="E3" s="174" t="s">
        <v>385</v>
      </c>
      <c r="F3" s="175">
        <v>43.182003999999999</v>
      </c>
      <c r="G3" s="175">
        <v>9.9362820000000003</v>
      </c>
      <c r="H3" s="176">
        <v>35186</v>
      </c>
      <c r="I3" s="185">
        <f>INT(H3*0.45)</f>
        <v>15833</v>
      </c>
      <c r="J3" s="174">
        <f>INT(I3*3.8%)</f>
        <v>601</v>
      </c>
      <c r="K3" s="174">
        <f>INT(I3*18%)</f>
        <v>2849</v>
      </c>
      <c r="L3" s="174">
        <f>INT(I3*4.5%)</f>
        <v>712</v>
      </c>
      <c r="M3" s="174">
        <f>INT(I3*4%)</f>
        <v>633</v>
      </c>
      <c r="N3" s="174">
        <f>INT(I3*22%)</f>
        <v>3483</v>
      </c>
    </row>
    <row r="4" spans="2:14">
      <c r="B4" s="174">
        <v>2</v>
      </c>
      <c r="C4" s="174" t="s">
        <v>383</v>
      </c>
      <c r="D4" s="174" t="s">
        <v>384</v>
      </c>
      <c r="E4" s="174" t="s">
        <v>386</v>
      </c>
      <c r="F4" s="175">
        <v>43.184629999999999</v>
      </c>
      <c r="G4" s="175">
        <v>9.9311190000000007</v>
      </c>
      <c r="H4" s="176">
        <v>22650</v>
      </c>
      <c r="I4" s="185">
        <f t="shared" ref="I4:I67" si="0">INT(H4*0.45)</f>
        <v>10192</v>
      </c>
      <c r="J4" s="174">
        <f t="shared" ref="J4:J67" si="1">INT(I4*3.8%)</f>
        <v>387</v>
      </c>
      <c r="K4" s="174">
        <f t="shared" ref="K4:K67" si="2">INT(I4*18%)</f>
        <v>1834</v>
      </c>
      <c r="L4" s="174">
        <f t="shared" ref="L4:L67" si="3">INT(I4*4.5%)</f>
        <v>458</v>
      </c>
      <c r="M4" s="174">
        <f t="shared" ref="M4:M67" si="4">INT(I4*4%)</f>
        <v>407</v>
      </c>
      <c r="N4" s="174">
        <f t="shared" ref="N4:N67" si="5">INT(I4*22%)</f>
        <v>2242</v>
      </c>
    </row>
    <row r="5" spans="2:14">
      <c r="B5" s="174">
        <v>3</v>
      </c>
      <c r="C5" s="174" t="s">
        <v>383</v>
      </c>
      <c r="D5" s="174" t="s">
        <v>384</v>
      </c>
      <c r="E5" s="174" t="s">
        <v>387</v>
      </c>
      <c r="F5" s="175">
        <v>43.179296000000001</v>
      </c>
      <c r="G5" s="175">
        <v>9.9290339999999997</v>
      </c>
      <c r="H5" s="176">
        <v>21471</v>
      </c>
      <c r="I5" s="185">
        <f t="shared" si="0"/>
        <v>9661</v>
      </c>
      <c r="J5" s="174">
        <f t="shared" si="1"/>
        <v>367</v>
      </c>
      <c r="K5" s="174">
        <f t="shared" si="2"/>
        <v>1738</v>
      </c>
      <c r="L5" s="174">
        <f t="shared" si="3"/>
        <v>434</v>
      </c>
      <c r="M5" s="174">
        <f t="shared" si="4"/>
        <v>386</v>
      </c>
      <c r="N5" s="174">
        <f t="shared" si="5"/>
        <v>2125</v>
      </c>
    </row>
    <row r="6" spans="2:14">
      <c r="B6" s="174">
        <v>4</v>
      </c>
      <c r="C6" s="174" t="s">
        <v>383</v>
      </c>
      <c r="D6" s="174" t="s">
        <v>384</v>
      </c>
      <c r="E6" s="174" t="s">
        <v>388</v>
      </c>
      <c r="F6" s="175">
        <v>43.195191000000001</v>
      </c>
      <c r="G6" s="175">
        <v>9.9337879999999998</v>
      </c>
      <c r="H6" s="176">
        <v>38764</v>
      </c>
      <c r="I6" s="185">
        <f t="shared" si="0"/>
        <v>17443</v>
      </c>
      <c r="J6" s="174">
        <f t="shared" si="1"/>
        <v>662</v>
      </c>
      <c r="K6" s="174">
        <f t="shared" si="2"/>
        <v>3139</v>
      </c>
      <c r="L6" s="174">
        <f t="shared" si="3"/>
        <v>784</v>
      </c>
      <c r="M6" s="174">
        <f t="shared" si="4"/>
        <v>697</v>
      </c>
      <c r="N6" s="174">
        <f t="shared" si="5"/>
        <v>3837</v>
      </c>
    </row>
    <row r="7" spans="2:14">
      <c r="B7" s="174">
        <v>5</v>
      </c>
      <c r="C7" s="174" t="s">
        <v>383</v>
      </c>
      <c r="D7" s="174" t="s">
        <v>384</v>
      </c>
      <c r="E7" s="174" t="s">
        <v>389</v>
      </c>
      <c r="F7" s="175">
        <v>43.192495999999998</v>
      </c>
      <c r="G7" s="175">
        <v>9.9472500000000004</v>
      </c>
      <c r="H7" s="176">
        <v>35251</v>
      </c>
      <c r="I7" s="185">
        <f t="shared" si="0"/>
        <v>15862</v>
      </c>
      <c r="J7" s="174">
        <f t="shared" si="1"/>
        <v>602</v>
      </c>
      <c r="K7" s="174">
        <f t="shared" si="2"/>
        <v>2855</v>
      </c>
      <c r="L7" s="174">
        <f t="shared" si="3"/>
        <v>713</v>
      </c>
      <c r="M7" s="174">
        <f t="shared" si="4"/>
        <v>634</v>
      </c>
      <c r="N7" s="174">
        <f t="shared" si="5"/>
        <v>3489</v>
      </c>
    </row>
    <row r="8" spans="2:14">
      <c r="B8" s="174">
        <v>6</v>
      </c>
      <c r="C8" s="174" t="s">
        <v>383</v>
      </c>
      <c r="D8" s="174" t="s">
        <v>384</v>
      </c>
      <c r="E8" s="174" t="s">
        <v>390</v>
      </c>
      <c r="F8" s="175">
        <v>43.170664000000002</v>
      </c>
      <c r="G8" s="175">
        <v>9.948518</v>
      </c>
      <c r="H8" s="176">
        <v>19858</v>
      </c>
      <c r="I8" s="185">
        <f t="shared" si="0"/>
        <v>8936</v>
      </c>
      <c r="J8" s="174">
        <f t="shared" si="1"/>
        <v>339</v>
      </c>
      <c r="K8" s="174">
        <f t="shared" si="2"/>
        <v>1608</v>
      </c>
      <c r="L8" s="174">
        <f t="shared" si="3"/>
        <v>402</v>
      </c>
      <c r="M8" s="174">
        <f t="shared" si="4"/>
        <v>357</v>
      </c>
      <c r="N8" s="174">
        <f t="shared" si="5"/>
        <v>1965</v>
      </c>
    </row>
    <row r="9" spans="2:14">
      <c r="B9" s="174">
        <v>7</v>
      </c>
      <c r="C9" s="174" t="s">
        <v>383</v>
      </c>
      <c r="D9" s="174" t="s">
        <v>384</v>
      </c>
      <c r="E9" s="174" t="s">
        <v>391</v>
      </c>
      <c r="F9" s="175">
        <v>43.180342000000003</v>
      </c>
      <c r="G9" s="175">
        <v>9.9367370000000008</v>
      </c>
      <c r="H9" s="176">
        <v>379199</v>
      </c>
      <c r="I9" s="185">
        <f t="shared" si="0"/>
        <v>170639</v>
      </c>
      <c r="J9" s="174">
        <f t="shared" si="1"/>
        <v>6484</v>
      </c>
      <c r="K9" s="174">
        <f t="shared" si="2"/>
        <v>30715</v>
      </c>
      <c r="L9" s="174">
        <f t="shared" si="3"/>
        <v>7678</v>
      </c>
      <c r="M9" s="174">
        <f t="shared" si="4"/>
        <v>6825</v>
      </c>
      <c r="N9" s="174">
        <f t="shared" si="5"/>
        <v>37540</v>
      </c>
    </row>
    <row r="10" spans="2:14">
      <c r="B10" s="174">
        <v>8</v>
      </c>
      <c r="C10" s="174" t="s">
        <v>383</v>
      </c>
      <c r="D10" s="174" t="s">
        <v>384</v>
      </c>
      <c r="E10" s="174" t="s">
        <v>392</v>
      </c>
      <c r="F10" s="175">
        <v>43.303189000000003</v>
      </c>
      <c r="G10" s="175">
        <v>9.6948319999999999</v>
      </c>
      <c r="H10" s="176">
        <v>29913</v>
      </c>
      <c r="I10" s="185">
        <f t="shared" si="0"/>
        <v>13460</v>
      </c>
      <c r="J10" s="174">
        <f t="shared" si="1"/>
        <v>511</v>
      </c>
      <c r="K10" s="174">
        <f t="shared" si="2"/>
        <v>2422</v>
      </c>
      <c r="L10" s="174">
        <f t="shared" si="3"/>
        <v>605</v>
      </c>
      <c r="M10" s="174">
        <f t="shared" si="4"/>
        <v>538</v>
      </c>
      <c r="N10" s="174">
        <f t="shared" si="5"/>
        <v>2961</v>
      </c>
    </row>
    <row r="11" spans="2:14">
      <c r="B11" s="174">
        <v>9</v>
      </c>
      <c r="C11" s="174" t="s">
        <v>383</v>
      </c>
      <c r="D11" s="174" t="s">
        <v>384</v>
      </c>
      <c r="E11" s="174" t="s">
        <v>393</v>
      </c>
      <c r="F11" s="175">
        <v>43.010948999999997</v>
      </c>
      <c r="G11" s="175">
        <v>10.089518</v>
      </c>
      <c r="H11" s="176">
        <v>24738</v>
      </c>
      <c r="I11" s="185">
        <f t="shared" si="0"/>
        <v>11132</v>
      </c>
      <c r="J11" s="174">
        <f t="shared" si="1"/>
        <v>423</v>
      </c>
      <c r="K11" s="174">
        <f t="shared" si="2"/>
        <v>2003</v>
      </c>
      <c r="L11" s="174">
        <f t="shared" si="3"/>
        <v>500</v>
      </c>
      <c r="M11" s="174">
        <f t="shared" si="4"/>
        <v>445</v>
      </c>
      <c r="N11" s="174">
        <f t="shared" si="5"/>
        <v>2449</v>
      </c>
    </row>
    <row r="12" spans="2:14">
      <c r="B12" s="174">
        <v>10</v>
      </c>
      <c r="C12" s="174" t="s">
        <v>383</v>
      </c>
      <c r="D12" s="174" t="s">
        <v>384</v>
      </c>
      <c r="E12" s="174" t="s">
        <v>394</v>
      </c>
      <c r="F12" s="175">
        <v>43.087780000000002</v>
      </c>
      <c r="G12" s="175">
        <v>10.194751999999999</v>
      </c>
      <c r="H12" s="176">
        <v>30407</v>
      </c>
      <c r="I12" s="185">
        <f t="shared" si="0"/>
        <v>13683</v>
      </c>
      <c r="J12" s="174">
        <f t="shared" si="1"/>
        <v>519</v>
      </c>
      <c r="K12" s="174">
        <f t="shared" si="2"/>
        <v>2462</v>
      </c>
      <c r="L12" s="174">
        <f t="shared" si="3"/>
        <v>615</v>
      </c>
      <c r="M12" s="174">
        <f t="shared" si="4"/>
        <v>547</v>
      </c>
      <c r="N12" s="174">
        <f t="shared" si="5"/>
        <v>3010</v>
      </c>
    </row>
    <row r="13" spans="2:14">
      <c r="B13" s="174">
        <v>11</v>
      </c>
      <c r="C13" s="174" t="s">
        <v>383</v>
      </c>
      <c r="D13" s="174" t="s">
        <v>395</v>
      </c>
      <c r="E13" s="174" t="s">
        <v>396</v>
      </c>
      <c r="F13" s="175">
        <v>42.843232</v>
      </c>
      <c r="G13" s="175">
        <v>10.327218999999999</v>
      </c>
      <c r="H13" s="176">
        <v>14723</v>
      </c>
      <c r="I13" s="185">
        <f t="shared" si="0"/>
        <v>6625</v>
      </c>
      <c r="J13" s="174">
        <f t="shared" si="1"/>
        <v>251</v>
      </c>
      <c r="K13" s="174">
        <f t="shared" si="2"/>
        <v>1192</v>
      </c>
      <c r="L13" s="174">
        <f t="shared" si="3"/>
        <v>298</v>
      </c>
      <c r="M13" s="174">
        <f t="shared" si="4"/>
        <v>265</v>
      </c>
      <c r="N13" s="174">
        <f t="shared" si="5"/>
        <v>1457</v>
      </c>
    </row>
    <row r="14" spans="2:14">
      <c r="B14" s="174">
        <v>12</v>
      </c>
      <c r="C14" s="174" t="s">
        <v>383</v>
      </c>
      <c r="D14" s="174" t="s">
        <v>395</v>
      </c>
      <c r="E14" s="174" t="s">
        <v>397</v>
      </c>
      <c r="F14" s="175">
        <v>42.891680999999998</v>
      </c>
      <c r="G14" s="175">
        <v>10.509646</v>
      </c>
      <c r="H14" s="176">
        <v>5599</v>
      </c>
      <c r="I14" s="185">
        <f t="shared" si="0"/>
        <v>2519</v>
      </c>
      <c r="J14" s="174">
        <f t="shared" si="1"/>
        <v>95</v>
      </c>
      <c r="K14" s="174">
        <f t="shared" si="2"/>
        <v>453</v>
      </c>
      <c r="L14" s="174">
        <f t="shared" si="3"/>
        <v>113</v>
      </c>
      <c r="M14" s="174">
        <f t="shared" si="4"/>
        <v>100</v>
      </c>
      <c r="N14" s="174">
        <f t="shared" si="5"/>
        <v>554</v>
      </c>
    </row>
    <row r="15" spans="2:14">
      <c r="B15" s="174">
        <v>13</v>
      </c>
      <c r="C15" s="174" t="s">
        <v>383</v>
      </c>
      <c r="D15" s="174" t="s">
        <v>395</v>
      </c>
      <c r="E15" s="174" t="s">
        <v>398</v>
      </c>
      <c r="F15" s="175">
        <v>43.068139000000002</v>
      </c>
      <c r="G15" s="175">
        <v>10.620894</v>
      </c>
      <c r="H15" s="176">
        <v>4973</v>
      </c>
      <c r="I15" s="185">
        <f t="shared" si="0"/>
        <v>2237</v>
      </c>
      <c r="J15" s="174">
        <f t="shared" si="1"/>
        <v>85</v>
      </c>
      <c r="K15" s="174">
        <f t="shared" si="2"/>
        <v>402</v>
      </c>
      <c r="L15" s="174">
        <f t="shared" si="3"/>
        <v>100</v>
      </c>
      <c r="M15" s="174">
        <f t="shared" si="4"/>
        <v>89</v>
      </c>
      <c r="N15" s="174">
        <f t="shared" si="5"/>
        <v>492</v>
      </c>
    </row>
    <row r="16" spans="2:14">
      <c r="B16" s="174">
        <v>14</v>
      </c>
      <c r="C16" s="174" t="s">
        <v>383</v>
      </c>
      <c r="D16" s="174" t="s">
        <v>395</v>
      </c>
      <c r="E16" s="174" t="s">
        <v>399</v>
      </c>
      <c r="F16" s="175">
        <v>43.193885000000002</v>
      </c>
      <c r="G16" s="175">
        <v>10.374421999999999</v>
      </c>
      <c r="H16" s="176">
        <v>6281</v>
      </c>
      <c r="I16" s="185">
        <f t="shared" si="0"/>
        <v>2826</v>
      </c>
      <c r="J16" s="174">
        <f t="shared" si="1"/>
        <v>107</v>
      </c>
      <c r="K16" s="174">
        <f t="shared" si="2"/>
        <v>508</v>
      </c>
      <c r="L16" s="174">
        <f t="shared" si="3"/>
        <v>127</v>
      </c>
      <c r="M16" s="174">
        <f t="shared" si="4"/>
        <v>113</v>
      </c>
      <c r="N16" s="174">
        <f t="shared" si="5"/>
        <v>621</v>
      </c>
    </row>
    <row r="17" spans="2:14">
      <c r="B17" s="174">
        <v>15</v>
      </c>
      <c r="C17" s="174" t="s">
        <v>383</v>
      </c>
      <c r="D17" s="174" t="s">
        <v>395</v>
      </c>
      <c r="E17" s="174" t="s">
        <v>400</v>
      </c>
      <c r="F17" s="175">
        <v>43.476168000000001</v>
      </c>
      <c r="G17" s="175">
        <v>11.354794999999999</v>
      </c>
      <c r="H17" s="176">
        <v>43532</v>
      </c>
      <c r="I17" s="185">
        <f t="shared" si="0"/>
        <v>19589</v>
      </c>
      <c r="J17" s="174">
        <f t="shared" si="1"/>
        <v>744</v>
      </c>
      <c r="K17" s="174">
        <f t="shared" si="2"/>
        <v>3526</v>
      </c>
      <c r="L17" s="174">
        <f t="shared" si="3"/>
        <v>881</v>
      </c>
      <c r="M17" s="174">
        <f t="shared" si="4"/>
        <v>783</v>
      </c>
      <c r="N17" s="174">
        <f t="shared" si="5"/>
        <v>4309</v>
      </c>
    </row>
    <row r="18" spans="2:14">
      <c r="B18" s="174">
        <v>16</v>
      </c>
      <c r="C18" s="174" t="s">
        <v>383</v>
      </c>
      <c r="D18" s="174" t="s">
        <v>395</v>
      </c>
      <c r="E18" s="174" t="s">
        <v>401</v>
      </c>
      <c r="F18" s="175">
        <v>43.257916000000002</v>
      </c>
      <c r="G18" s="175">
        <v>11.459249</v>
      </c>
      <c r="H18" s="176">
        <v>5933</v>
      </c>
      <c r="I18" s="185">
        <f t="shared" si="0"/>
        <v>2669</v>
      </c>
      <c r="J18" s="174">
        <f t="shared" si="1"/>
        <v>101</v>
      </c>
      <c r="K18" s="174">
        <f t="shared" si="2"/>
        <v>480</v>
      </c>
      <c r="L18" s="174">
        <f t="shared" si="3"/>
        <v>120</v>
      </c>
      <c r="M18" s="174">
        <f t="shared" si="4"/>
        <v>106</v>
      </c>
      <c r="N18" s="174">
        <f t="shared" si="5"/>
        <v>587</v>
      </c>
    </row>
    <row r="19" spans="2:14">
      <c r="B19" s="174">
        <v>17</v>
      </c>
      <c r="C19" s="174" t="s">
        <v>402</v>
      </c>
      <c r="D19" s="174" t="s">
        <v>403</v>
      </c>
      <c r="E19" s="174" t="s">
        <v>404</v>
      </c>
      <c r="F19" s="175">
        <v>45.577385999999997</v>
      </c>
      <c r="G19" s="175">
        <v>9.5223940000000002</v>
      </c>
      <c r="H19" s="176">
        <v>26595</v>
      </c>
      <c r="I19" s="185">
        <f t="shared" si="0"/>
        <v>11967</v>
      </c>
      <c r="J19" s="174">
        <f t="shared" si="1"/>
        <v>454</v>
      </c>
      <c r="K19" s="174">
        <f t="shared" si="2"/>
        <v>2154</v>
      </c>
      <c r="L19" s="174">
        <f t="shared" si="3"/>
        <v>538</v>
      </c>
      <c r="M19" s="174">
        <f t="shared" si="4"/>
        <v>478</v>
      </c>
      <c r="N19" s="174">
        <f t="shared" si="5"/>
        <v>2632</v>
      </c>
    </row>
    <row r="20" spans="2:14">
      <c r="B20" s="174">
        <v>18</v>
      </c>
      <c r="C20" s="174" t="s">
        <v>402</v>
      </c>
      <c r="D20" s="174" t="s">
        <v>403</v>
      </c>
      <c r="E20" s="174" t="s">
        <v>405</v>
      </c>
      <c r="F20" s="175">
        <v>45.914167999999997</v>
      </c>
      <c r="G20" s="175">
        <v>8.3685770000000002</v>
      </c>
      <c r="H20" s="176">
        <v>14319</v>
      </c>
      <c r="I20" s="185">
        <f t="shared" si="0"/>
        <v>6443</v>
      </c>
      <c r="J20" s="174">
        <f t="shared" si="1"/>
        <v>244</v>
      </c>
      <c r="K20" s="174">
        <f t="shared" si="2"/>
        <v>1159</v>
      </c>
      <c r="L20" s="174">
        <f t="shared" si="3"/>
        <v>289</v>
      </c>
      <c r="M20" s="174">
        <f t="shared" si="4"/>
        <v>257</v>
      </c>
      <c r="N20" s="174">
        <f t="shared" si="5"/>
        <v>1417</v>
      </c>
    </row>
    <row r="21" spans="2:14">
      <c r="B21" s="174">
        <v>19</v>
      </c>
      <c r="C21" s="174" t="s">
        <v>402</v>
      </c>
      <c r="D21" s="174" t="s">
        <v>403</v>
      </c>
      <c r="E21" s="174" t="s">
        <v>406</v>
      </c>
      <c r="F21" s="175">
        <v>45.537578000000003</v>
      </c>
      <c r="G21" s="175">
        <v>9.5238499999999995</v>
      </c>
      <c r="H21" s="176">
        <v>23676</v>
      </c>
      <c r="I21" s="185">
        <f t="shared" si="0"/>
        <v>10654</v>
      </c>
      <c r="J21" s="174">
        <f t="shared" si="1"/>
        <v>404</v>
      </c>
      <c r="K21" s="174">
        <f t="shared" si="2"/>
        <v>1917</v>
      </c>
      <c r="L21" s="174">
        <f t="shared" si="3"/>
        <v>479</v>
      </c>
      <c r="M21" s="174">
        <f t="shared" si="4"/>
        <v>426</v>
      </c>
      <c r="N21" s="174">
        <f t="shared" si="5"/>
        <v>2343</v>
      </c>
    </row>
    <row r="22" spans="2:14">
      <c r="B22" s="174">
        <v>20</v>
      </c>
      <c r="C22" s="174" t="s">
        <v>402</v>
      </c>
      <c r="D22" s="174" t="s">
        <v>403</v>
      </c>
      <c r="E22" s="174" t="s">
        <v>407</v>
      </c>
      <c r="F22" s="175">
        <v>45.537204000000003</v>
      </c>
      <c r="G22" s="175">
        <v>9.5344049999999996</v>
      </c>
      <c r="H22" s="176">
        <v>412543</v>
      </c>
      <c r="I22" s="185">
        <f t="shared" si="0"/>
        <v>185644</v>
      </c>
      <c r="J22" s="174">
        <f t="shared" si="1"/>
        <v>7054</v>
      </c>
      <c r="K22" s="174">
        <f t="shared" si="2"/>
        <v>33415</v>
      </c>
      <c r="L22" s="174">
        <f t="shared" si="3"/>
        <v>8353</v>
      </c>
      <c r="M22" s="174">
        <f t="shared" si="4"/>
        <v>7425</v>
      </c>
      <c r="N22" s="174">
        <f t="shared" si="5"/>
        <v>40841</v>
      </c>
    </row>
    <row r="23" spans="2:14">
      <c r="B23" s="174">
        <v>21</v>
      </c>
      <c r="C23" s="174" t="s">
        <v>402</v>
      </c>
      <c r="D23" s="174" t="s">
        <v>403</v>
      </c>
      <c r="E23" s="174" t="s">
        <v>408</v>
      </c>
      <c r="F23" s="175">
        <v>45.536320000000003</v>
      </c>
      <c r="G23" s="175">
        <v>9.5618459999999992</v>
      </c>
      <c r="H23" s="176">
        <v>8142</v>
      </c>
      <c r="I23" s="185">
        <f t="shared" si="0"/>
        <v>3663</v>
      </c>
      <c r="J23" s="174">
        <f t="shared" si="1"/>
        <v>139</v>
      </c>
      <c r="K23" s="174">
        <f t="shared" si="2"/>
        <v>659</v>
      </c>
      <c r="L23" s="174">
        <f t="shared" si="3"/>
        <v>164</v>
      </c>
      <c r="M23" s="174">
        <f t="shared" si="4"/>
        <v>146</v>
      </c>
      <c r="N23" s="174">
        <f t="shared" si="5"/>
        <v>805</v>
      </c>
    </row>
    <row r="24" spans="2:14">
      <c r="B24" s="174">
        <v>22</v>
      </c>
      <c r="C24" s="174" t="s">
        <v>402</v>
      </c>
      <c r="D24" s="174" t="s">
        <v>403</v>
      </c>
      <c r="E24" s="174" t="s">
        <v>409</v>
      </c>
      <c r="F24" s="175">
        <v>45.768433999999999</v>
      </c>
      <c r="G24" s="175">
        <v>8.4163350000000001</v>
      </c>
      <c r="H24" s="176">
        <v>6871</v>
      </c>
      <c r="I24" s="185">
        <f t="shared" si="0"/>
        <v>3091</v>
      </c>
      <c r="J24" s="174">
        <f t="shared" si="1"/>
        <v>117</v>
      </c>
      <c r="K24" s="174">
        <f t="shared" si="2"/>
        <v>556</v>
      </c>
      <c r="L24" s="174">
        <f t="shared" si="3"/>
        <v>139</v>
      </c>
      <c r="M24" s="174">
        <f t="shared" si="4"/>
        <v>123</v>
      </c>
      <c r="N24" s="174">
        <f t="shared" si="5"/>
        <v>680</v>
      </c>
    </row>
    <row r="25" spans="2:14">
      <c r="B25" s="174">
        <v>23</v>
      </c>
      <c r="C25" s="174" t="s">
        <v>402</v>
      </c>
      <c r="D25" s="174" t="s">
        <v>403</v>
      </c>
      <c r="E25" s="174" t="s">
        <v>410</v>
      </c>
      <c r="F25" s="175">
        <v>45.718000000000004</v>
      </c>
      <c r="G25" s="175">
        <v>8.5136190000000003</v>
      </c>
      <c r="H25" s="176">
        <v>11641</v>
      </c>
      <c r="I25" s="185">
        <f t="shared" si="0"/>
        <v>5238</v>
      </c>
      <c r="J25" s="174">
        <f t="shared" si="1"/>
        <v>199</v>
      </c>
      <c r="K25" s="174">
        <f t="shared" si="2"/>
        <v>942</v>
      </c>
      <c r="L25" s="174">
        <f t="shared" si="3"/>
        <v>235</v>
      </c>
      <c r="M25" s="174">
        <f t="shared" si="4"/>
        <v>209</v>
      </c>
      <c r="N25" s="174">
        <f t="shared" si="5"/>
        <v>1152</v>
      </c>
    </row>
    <row r="26" spans="2:14">
      <c r="B26" s="174">
        <v>24</v>
      </c>
      <c r="C26" s="174" t="s">
        <v>402</v>
      </c>
      <c r="D26" s="174" t="s">
        <v>403</v>
      </c>
      <c r="E26" s="174" t="s">
        <v>411</v>
      </c>
      <c r="F26" s="175">
        <v>45.524320000000003</v>
      </c>
      <c r="G26" s="175">
        <v>9.5260099999999994</v>
      </c>
      <c r="H26" s="176">
        <v>25799</v>
      </c>
      <c r="I26" s="185">
        <f t="shared" si="0"/>
        <v>11609</v>
      </c>
      <c r="J26" s="174">
        <f t="shared" si="1"/>
        <v>441</v>
      </c>
      <c r="K26" s="174">
        <f t="shared" si="2"/>
        <v>2089</v>
      </c>
      <c r="L26" s="174">
        <f t="shared" si="3"/>
        <v>522</v>
      </c>
      <c r="M26" s="174">
        <f t="shared" si="4"/>
        <v>464</v>
      </c>
      <c r="N26" s="174">
        <f t="shared" si="5"/>
        <v>2553</v>
      </c>
    </row>
    <row r="27" spans="2:14">
      <c r="B27" s="174">
        <v>25</v>
      </c>
      <c r="C27" s="174" t="s">
        <v>402</v>
      </c>
      <c r="D27" s="174" t="s">
        <v>403</v>
      </c>
      <c r="E27" s="174" t="s">
        <v>412</v>
      </c>
      <c r="F27" s="175">
        <v>45.544449999999998</v>
      </c>
      <c r="G27" s="175">
        <v>9.5115400000000001</v>
      </c>
      <c r="H27" s="176">
        <v>23101</v>
      </c>
      <c r="I27" s="185">
        <f t="shared" si="0"/>
        <v>10395</v>
      </c>
      <c r="J27" s="174">
        <f t="shared" si="1"/>
        <v>395</v>
      </c>
      <c r="K27" s="174">
        <f t="shared" si="2"/>
        <v>1871</v>
      </c>
      <c r="L27" s="174">
        <f t="shared" si="3"/>
        <v>467</v>
      </c>
      <c r="M27" s="174">
        <f t="shared" si="4"/>
        <v>415</v>
      </c>
      <c r="N27" s="174">
        <f t="shared" si="5"/>
        <v>2286</v>
      </c>
    </row>
    <row r="28" spans="2:14">
      <c r="B28" s="174">
        <v>26</v>
      </c>
      <c r="C28" s="174" t="s">
        <v>402</v>
      </c>
      <c r="D28" s="174" t="s">
        <v>403</v>
      </c>
      <c r="E28" s="174" t="s">
        <v>413</v>
      </c>
      <c r="F28" s="175">
        <v>45.461587999999999</v>
      </c>
      <c r="G28" s="175">
        <v>8.5171419999999998</v>
      </c>
      <c r="H28" s="176">
        <v>16240</v>
      </c>
      <c r="I28" s="185">
        <f t="shared" si="0"/>
        <v>7308</v>
      </c>
      <c r="J28" s="174">
        <f t="shared" si="1"/>
        <v>277</v>
      </c>
      <c r="K28" s="174">
        <f t="shared" si="2"/>
        <v>1315</v>
      </c>
      <c r="L28" s="174">
        <f t="shared" si="3"/>
        <v>328</v>
      </c>
      <c r="M28" s="174">
        <f t="shared" si="4"/>
        <v>292</v>
      </c>
      <c r="N28" s="174">
        <f t="shared" si="5"/>
        <v>1607</v>
      </c>
    </row>
    <row r="29" spans="2:14">
      <c r="B29" s="174">
        <v>27</v>
      </c>
      <c r="C29" s="174" t="s">
        <v>402</v>
      </c>
      <c r="D29" s="174" t="s">
        <v>403</v>
      </c>
      <c r="E29" s="174" t="s">
        <v>414</v>
      </c>
      <c r="F29" s="175">
        <v>45.890801000000003</v>
      </c>
      <c r="G29" s="175">
        <v>9.7993159999999992</v>
      </c>
      <c r="H29" s="176">
        <v>9206</v>
      </c>
      <c r="I29" s="185">
        <f t="shared" si="0"/>
        <v>4142</v>
      </c>
      <c r="J29" s="174">
        <f t="shared" si="1"/>
        <v>157</v>
      </c>
      <c r="K29" s="174">
        <f t="shared" si="2"/>
        <v>745</v>
      </c>
      <c r="L29" s="174">
        <f t="shared" si="3"/>
        <v>186</v>
      </c>
      <c r="M29" s="174">
        <f t="shared" si="4"/>
        <v>165</v>
      </c>
      <c r="N29" s="174">
        <f t="shared" si="5"/>
        <v>911</v>
      </c>
    </row>
    <row r="30" spans="2:14">
      <c r="B30" s="174">
        <v>28</v>
      </c>
      <c r="C30" s="174" t="s">
        <v>402</v>
      </c>
      <c r="D30" s="174" t="s">
        <v>403</v>
      </c>
      <c r="E30" s="174" t="s">
        <v>415</v>
      </c>
      <c r="F30" s="175">
        <v>45.465110000000003</v>
      </c>
      <c r="G30" s="175">
        <v>8.7816229999999997</v>
      </c>
      <c r="H30" s="176">
        <v>11258</v>
      </c>
      <c r="I30" s="185">
        <f t="shared" si="0"/>
        <v>5066</v>
      </c>
      <c r="J30" s="174">
        <f t="shared" si="1"/>
        <v>192</v>
      </c>
      <c r="K30" s="174">
        <f t="shared" si="2"/>
        <v>911</v>
      </c>
      <c r="L30" s="174">
        <f t="shared" si="3"/>
        <v>227</v>
      </c>
      <c r="M30" s="174">
        <f t="shared" si="4"/>
        <v>202</v>
      </c>
      <c r="N30" s="174">
        <f t="shared" si="5"/>
        <v>1114</v>
      </c>
    </row>
    <row r="31" spans="2:14">
      <c r="B31" s="174">
        <v>29</v>
      </c>
      <c r="C31" s="174" t="s">
        <v>402</v>
      </c>
      <c r="D31" s="174" t="s">
        <v>403</v>
      </c>
      <c r="E31" s="174" t="s">
        <v>416</v>
      </c>
      <c r="F31" s="175">
        <v>45.521090000000001</v>
      </c>
      <c r="G31" s="175">
        <v>9.5798799999999993</v>
      </c>
      <c r="H31" s="176">
        <v>8621</v>
      </c>
      <c r="I31" s="185">
        <f t="shared" si="0"/>
        <v>3879</v>
      </c>
      <c r="J31" s="174">
        <f t="shared" si="1"/>
        <v>147</v>
      </c>
      <c r="K31" s="174">
        <f t="shared" si="2"/>
        <v>698</v>
      </c>
      <c r="L31" s="174">
        <f t="shared" si="3"/>
        <v>174</v>
      </c>
      <c r="M31" s="174">
        <f t="shared" si="4"/>
        <v>155</v>
      </c>
      <c r="N31" s="174">
        <f t="shared" si="5"/>
        <v>853</v>
      </c>
    </row>
    <row r="32" spans="2:14">
      <c r="B32" s="174">
        <v>30</v>
      </c>
      <c r="C32" s="174" t="s">
        <v>402</v>
      </c>
      <c r="D32" s="174" t="s">
        <v>403</v>
      </c>
      <c r="E32" s="174" t="s">
        <v>417</v>
      </c>
      <c r="F32" s="175">
        <v>45.635359999999999</v>
      </c>
      <c r="G32" s="175">
        <v>8.7518499999999992</v>
      </c>
      <c r="H32" s="176">
        <v>7467</v>
      </c>
      <c r="I32" s="185">
        <f t="shared" si="0"/>
        <v>3360</v>
      </c>
      <c r="J32" s="174">
        <f t="shared" si="1"/>
        <v>127</v>
      </c>
      <c r="K32" s="174">
        <f t="shared" si="2"/>
        <v>604</v>
      </c>
      <c r="L32" s="174">
        <f t="shared" si="3"/>
        <v>151</v>
      </c>
      <c r="M32" s="174">
        <f t="shared" si="4"/>
        <v>134</v>
      </c>
      <c r="N32" s="174">
        <f t="shared" si="5"/>
        <v>739</v>
      </c>
    </row>
    <row r="33" spans="2:18">
      <c r="B33" s="174">
        <v>31</v>
      </c>
      <c r="C33" s="174" t="s">
        <v>402</v>
      </c>
      <c r="D33" s="174" t="s">
        <v>403</v>
      </c>
      <c r="E33" s="174" t="s">
        <v>418</v>
      </c>
      <c r="F33" s="175">
        <v>45.968021999999998</v>
      </c>
      <c r="G33" s="175">
        <v>9.0653780000000008</v>
      </c>
      <c r="H33" s="176">
        <v>17065</v>
      </c>
      <c r="I33" s="185">
        <f t="shared" si="0"/>
        <v>7679</v>
      </c>
      <c r="J33" s="174">
        <f t="shared" si="1"/>
        <v>291</v>
      </c>
      <c r="K33" s="174">
        <f t="shared" si="2"/>
        <v>1382</v>
      </c>
      <c r="L33" s="174">
        <f t="shared" si="3"/>
        <v>345</v>
      </c>
      <c r="M33" s="174">
        <f t="shared" si="4"/>
        <v>307</v>
      </c>
      <c r="N33" s="174">
        <f t="shared" si="5"/>
        <v>1689</v>
      </c>
    </row>
    <row r="34" spans="2:18">
      <c r="B34" s="174">
        <v>32</v>
      </c>
      <c r="C34" s="174" t="s">
        <v>402</v>
      </c>
      <c r="D34" s="174" t="s">
        <v>403</v>
      </c>
      <c r="E34" s="174" t="s">
        <v>419</v>
      </c>
      <c r="F34" s="175">
        <v>45.968021999999998</v>
      </c>
      <c r="G34" s="175">
        <v>9.0653780000000008</v>
      </c>
      <c r="H34" s="176">
        <v>6850</v>
      </c>
      <c r="I34" s="185">
        <f t="shared" si="0"/>
        <v>3082</v>
      </c>
      <c r="J34" s="174">
        <f t="shared" si="1"/>
        <v>117</v>
      </c>
      <c r="K34" s="174">
        <f t="shared" si="2"/>
        <v>554</v>
      </c>
      <c r="L34" s="174">
        <f t="shared" si="3"/>
        <v>138</v>
      </c>
      <c r="M34" s="174">
        <f t="shared" si="4"/>
        <v>123</v>
      </c>
      <c r="N34" s="174">
        <f t="shared" si="5"/>
        <v>678</v>
      </c>
    </row>
    <row r="35" spans="2:18">
      <c r="B35" s="174">
        <v>33</v>
      </c>
      <c r="C35" s="174" t="s">
        <v>402</v>
      </c>
      <c r="D35" s="174" t="s">
        <v>403</v>
      </c>
      <c r="E35" s="174" t="s">
        <v>420</v>
      </c>
      <c r="F35" s="175">
        <v>45.599131</v>
      </c>
      <c r="G35" s="175">
        <v>8.4739679999999993</v>
      </c>
      <c r="H35" s="176">
        <v>10209</v>
      </c>
      <c r="I35" s="185">
        <f t="shared" si="0"/>
        <v>4594</v>
      </c>
      <c r="J35" s="174">
        <f t="shared" si="1"/>
        <v>174</v>
      </c>
      <c r="K35" s="174">
        <f t="shared" si="2"/>
        <v>826</v>
      </c>
      <c r="L35" s="174">
        <f t="shared" si="3"/>
        <v>206</v>
      </c>
      <c r="M35" s="174">
        <f t="shared" si="4"/>
        <v>183</v>
      </c>
      <c r="N35" s="174">
        <f t="shared" si="5"/>
        <v>1010</v>
      </c>
    </row>
    <row r="36" spans="2:18">
      <c r="B36" s="174">
        <v>34</v>
      </c>
      <c r="C36" s="174" t="s">
        <v>402</v>
      </c>
      <c r="D36" s="174" t="s">
        <v>403</v>
      </c>
      <c r="E36" s="174" t="s">
        <v>421</v>
      </c>
      <c r="F36" s="175">
        <v>45.892406999999999</v>
      </c>
      <c r="G36" s="175">
        <v>8.8006440000000001</v>
      </c>
      <c r="H36" s="176">
        <v>11895</v>
      </c>
      <c r="I36" s="185">
        <f t="shared" si="0"/>
        <v>5352</v>
      </c>
      <c r="J36" s="174">
        <f t="shared" si="1"/>
        <v>203</v>
      </c>
      <c r="K36" s="174">
        <f t="shared" si="2"/>
        <v>963</v>
      </c>
      <c r="L36" s="174">
        <f t="shared" si="3"/>
        <v>240</v>
      </c>
      <c r="M36" s="174">
        <f t="shared" si="4"/>
        <v>214</v>
      </c>
      <c r="N36" s="174">
        <f t="shared" si="5"/>
        <v>1177</v>
      </c>
    </row>
    <row r="37" spans="2:18">
      <c r="B37" s="174">
        <v>35</v>
      </c>
      <c r="C37" s="174" t="s">
        <v>402</v>
      </c>
      <c r="D37" s="174" t="s">
        <v>403</v>
      </c>
      <c r="E37" s="174" t="s">
        <v>422</v>
      </c>
      <c r="F37" s="175">
        <v>45.892406999999999</v>
      </c>
      <c r="G37" s="175">
        <v>8.8006440000000001</v>
      </c>
      <c r="H37" s="176">
        <v>21477</v>
      </c>
      <c r="I37" s="185">
        <f t="shared" si="0"/>
        <v>9664</v>
      </c>
      <c r="J37" s="174">
        <f t="shared" si="1"/>
        <v>367</v>
      </c>
      <c r="K37" s="174">
        <f t="shared" si="2"/>
        <v>1739</v>
      </c>
      <c r="L37" s="174">
        <f t="shared" si="3"/>
        <v>434</v>
      </c>
      <c r="M37" s="174">
        <f t="shared" si="4"/>
        <v>386</v>
      </c>
      <c r="N37" s="174">
        <f t="shared" si="5"/>
        <v>2126</v>
      </c>
    </row>
    <row r="38" spans="2:18">
      <c r="B38" s="174">
        <v>36</v>
      </c>
      <c r="C38" s="174" t="s">
        <v>402</v>
      </c>
      <c r="D38" s="174" t="s">
        <v>423</v>
      </c>
      <c r="E38" s="174" t="s">
        <v>424</v>
      </c>
      <c r="F38" s="175">
        <v>44.986690000000003</v>
      </c>
      <c r="G38" s="175">
        <v>9.1880480000000002</v>
      </c>
      <c r="H38" s="176">
        <v>5683</v>
      </c>
      <c r="I38" s="185">
        <f t="shared" si="0"/>
        <v>2557</v>
      </c>
      <c r="J38" s="174">
        <f t="shared" si="1"/>
        <v>97</v>
      </c>
      <c r="K38" s="174">
        <f t="shared" si="2"/>
        <v>460</v>
      </c>
      <c r="L38" s="174">
        <f t="shared" si="3"/>
        <v>115</v>
      </c>
      <c r="M38" s="174">
        <f t="shared" si="4"/>
        <v>102</v>
      </c>
      <c r="N38" s="174">
        <f t="shared" si="5"/>
        <v>562</v>
      </c>
    </row>
    <row r="39" spans="2:18">
      <c r="B39" s="174">
        <v>37</v>
      </c>
      <c r="C39" s="174" t="s">
        <v>402</v>
      </c>
      <c r="D39" s="174" t="s">
        <v>423</v>
      </c>
      <c r="E39" s="174" t="s">
        <v>425</v>
      </c>
      <c r="F39" s="175">
        <v>45.241494000000003</v>
      </c>
      <c r="G39" s="175">
        <v>8.5899760000000001</v>
      </c>
      <c r="H39" s="176">
        <v>8676</v>
      </c>
      <c r="I39" s="185">
        <f t="shared" si="0"/>
        <v>3904</v>
      </c>
      <c r="J39" s="174">
        <f t="shared" si="1"/>
        <v>148</v>
      </c>
      <c r="K39" s="174">
        <f t="shared" si="2"/>
        <v>702</v>
      </c>
      <c r="L39" s="174">
        <f t="shared" si="3"/>
        <v>175</v>
      </c>
      <c r="M39" s="174">
        <f t="shared" si="4"/>
        <v>156</v>
      </c>
      <c r="N39" s="174">
        <f t="shared" si="5"/>
        <v>858</v>
      </c>
    </row>
    <row r="40" spans="2:18">
      <c r="B40" s="174">
        <v>38</v>
      </c>
      <c r="C40" s="174" t="s">
        <v>402</v>
      </c>
      <c r="D40" s="174" t="s">
        <v>423</v>
      </c>
      <c r="E40" s="174" t="s">
        <v>426</v>
      </c>
      <c r="F40" s="175">
        <v>45.284878999999997</v>
      </c>
      <c r="G40" s="175">
        <v>9.2384799999999991</v>
      </c>
      <c r="H40" s="176">
        <v>5732</v>
      </c>
      <c r="I40" s="185">
        <f t="shared" si="0"/>
        <v>2579</v>
      </c>
      <c r="J40" s="174">
        <f t="shared" si="1"/>
        <v>98</v>
      </c>
      <c r="K40" s="174">
        <f t="shared" si="2"/>
        <v>464</v>
      </c>
      <c r="L40" s="174">
        <f t="shared" si="3"/>
        <v>116</v>
      </c>
      <c r="M40" s="174">
        <f t="shared" si="4"/>
        <v>103</v>
      </c>
      <c r="N40" s="174">
        <f t="shared" si="5"/>
        <v>567</v>
      </c>
    </row>
    <row r="41" spans="2:18">
      <c r="B41" s="174">
        <v>39</v>
      </c>
      <c r="C41" s="174" t="s">
        <v>402</v>
      </c>
      <c r="D41" s="174" t="s">
        <v>423</v>
      </c>
      <c r="E41" s="174" t="s">
        <v>427</v>
      </c>
      <c r="F41" s="175">
        <v>45.063580999999999</v>
      </c>
      <c r="G41" s="175">
        <v>9.4070110000000007</v>
      </c>
      <c r="H41" s="176">
        <v>9352</v>
      </c>
      <c r="I41" s="185">
        <f t="shared" si="0"/>
        <v>4208</v>
      </c>
      <c r="J41" s="174">
        <f t="shared" si="1"/>
        <v>159</v>
      </c>
      <c r="K41" s="174">
        <f t="shared" si="2"/>
        <v>757</v>
      </c>
      <c r="L41" s="174">
        <f t="shared" si="3"/>
        <v>189</v>
      </c>
      <c r="M41" s="174">
        <f t="shared" si="4"/>
        <v>168</v>
      </c>
      <c r="N41" s="174">
        <f t="shared" si="5"/>
        <v>925</v>
      </c>
    </row>
    <row r="42" spans="2:18">
      <c r="B42" s="174">
        <v>40</v>
      </c>
      <c r="C42" s="174" t="s">
        <v>402</v>
      </c>
      <c r="D42" s="174" t="s">
        <v>423</v>
      </c>
      <c r="E42" s="174" t="s">
        <v>428</v>
      </c>
      <c r="F42" s="175">
        <v>45.064487999999997</v>
      </c>
      <c r="G42" s="175">
        <v>9.4082519999999992</v>
      </c>
      <c r="H42" s="176">
        <v>65841</v>
      </c>
      <c r="I42" s="185">
        <f t="shared" si="0"/>
        <v>29628</v>
      </c>
      <c r="J42" s="174">
        <f t="shared" si="1"/>
        <v>1125</v>
      </c>
      <c r="K42" s="174">
        <f t="shared" si="2"/>
        <v>5333</v>
      </c>
      <c r="L42" s="174">
        <f t="shared" si="3"/>
        <v>1333</v>
      </c>
      <c r="M42" s="174">
        <f t="shared" si="4"/>
        <v>1185</v>
      </c>
      <c r="N42" s="174">
        <f t="shared" si="5"/>
        <v>6518</v>
      </c>
    </row>
    <row r="43" spans="2:18">
      <c r="B43" s="174">
        <v>41</v>
      </c>
      <c r="C43" s="174" t="s">
        <v>429</v>
      </c>
      <c r="D43" s="174" t="s">
        <v>430</v>
      </c>
      <c r="E43" s="174" t="s">
        <v>431</v>
      </c>
      <c r="F43" s="175">
        <v>41.876578000000002</v>
      </c>
      <c r="G43" s="175">
        <v>3.956153</v>
      </c>
      <c r="H43" s="176">
        <v>57627</v>
      </c>
      <c r="I43" s="185">
        <f t="shared" si="0"/>
        <v>25932</v>
      </c>
      <c r="J43" s="174">
        <f t="shared" si="1"/>
        <v>985</v>
      </c>
      <c r="K43" s="174">
        <f t="shared" si="2"/>
        <v>4667</v>
      </c>
      <c r="L43" s="174">
        <f t="shared" si="3"/>
        <v>1166</v>
      </c>
      <c r="M43" s="174">
        <f t="shared" si="4"/>
        <v>1037</v>
      </c>
      <c r="N43" s="174">
        <f t="shared" si="5"/>
        <v>5705</v>
      </c>
      <c r="R43" s="177"/>
    </row>
    <row r="44" spans="2:18">
      <c r="B44" s="174">
        <v>42</v>
      </c>
      <c r="C44" s="174" t="s">
        <v>429</v>
      </c>
      <c r="D44" s="174" t="s">
        <v>430</v>
      </c>
      <c r="E44" s="174" t="s">
        <v>432</v>
      </c>
      <c r="F44" s="175">
        <v>41.875487</v>
      </c>
      <c r="G44" s="175">
        <v>3.9301689999999998</v>
      </c>
      <c r="H44" s="176">
        <v>25757</v>
      </c>
      <c r="I44" s="185">
        <f t="shared" si="0"/>
        <v>11590</v>
      </c>
      <c r="J44" s="174">
        <f t="shared" si="1"/>
        <v>440</v>
      </c>
      <c r="K44" s="174">
        <f t="shared" si="2"/>
        <v>2086</v>
      </c>
      <c r="L44" s="174">
        <f t="shared" si="3"/>
        <v>521</v>
      </c>
      <c r="M44" s="174">
        <f t="shared" si="4"/>
        <v>463</v>
      </c>
      <c r="N44" s="174">
        <f t="shared" si="5"/>
        <v>2549</v>
      </c>
    </row>
    <row r="45" spans="2:18">
      <c r="B45" s="174">
        <v>43</v>
      </c>
      <c r="C45" s="174" t="s">
        <v>429</v>
      </c>
      <c r="D45" s="174" t="s">
        <v>430</v>
      </c>
      <c r="E45" s="174" t="s">
        <v>433</v>
      </c>
      <c r="F45" s="175">
        <v>41.875487</v>
      </c>
      <c r="G45" s="175">
        <v>3.9301689999999998</v>
      </c>
      <c r="H45" s="176">
        <v>21104</v>
      </c>
      <c r="I45" s="185">
        <f t="shared" si="0"/>
        <v>9496</v>
      </c>
      <c r="J45" s="174">
        <f t="shared" si="1"/>
        <v>360</v>
      </c>
      <c r="K45" s="174">
        <f t="shared" si="2"/>
        <v>1709</v>
      </c>
      <c r="L45" s="174">
        <f t="shared" si="3"/>
        <v>427</v>
      </c>
      <c r="M45" s="174">
        <f t="shared" si="4"/>
        <v>379</v>
      </c>
      <c r="N45" s="174">
        <f t="shared" si="5"/>
        <v>2089</v>
      </c>
    </row>
    <row r="46" spans="2:18">
      <c r="B46" s="174">
        <v>44</v>
      </c>
      <c r="C46" s="174" t="s">
        <v>429</v>
      </c>
      <c r="D46" s="174" t="s">
        <v>430</v>
      </c>
      <c r="E46" s="174" t="s">
        <v>434</v>
      </c>
      <c r="F46" s="175">
        <v>41.893939000000003</v>
      </c>
      <c r="G46" s="175">
        <v>3.956153</v>
      </c>
      <c r="H46" s="176">
        <v>8391</v>
      </c>
      <c r="I46" s="185">
        <f t="shared" si="0"/>
        <v>3775</v>
      </c>
      <c r="J46" s="174">
        <f t="shared" si="1"/>
        <v>143</v>
      </c>
      <c r="K46" s="174">
        <f t="shared" si="2"/>
        <v>679</v>
      </c>
      <c r="L46" s="174">
        <f t="shared" si="3"/>
        <v>169</v>
      </c>
      <c r="M46" s="174">
        <f t="shared" si="4"/>
        <v>151</v>
      </c>
      <c r="N46" s="174">
        <f t="shared" si="5"/>
        <v>830</v>
      </c>
    </row>
    <row r="47" spans="2:18">
      <c r="B47" s="174">
        <v>45</v>
      </c>
      <c r="C47" s="174" t="s">
        <v>429</v>
      </c>
      <c r="D47" s="174" t="s">
        <v>435</v>
      </c>
      <c r="E47" s="174" t="s">
        <v>436</v>
      </c>
      <c r="F47" s="175">
        <v>42.079028000000001</v>
      </c>
      <c r="G47" s="175">
        <v>4.1642190000000001</v>
      </c>
      <c r="H47" s="176">
        <v>25828</v>
      </c>
      <c r="I47" s="185">
        <f t="shared" si="0"/>
        <v>11622</v>
      </c>
      <c r="J47" s="174">
        <f t="shared" si="1"/>
        <v>441</v>
      </c>
      <c r="K47" s="174">
        <f t="shared" si="2"/>
        <v>2091</v>
      </c>
      <c r="L47" s="174">
        <f t="shared" si="3"/>
        <v>522</v>
      </c>
      <c r="M47" s="174">
        <f t="shared" si="4"/>
        <v>464</v>
      </c>
      <c r="N47" s="174">
        <f t="shared" si="5"/>
        <v>2556</v>
      </c>
    </row>
    <row r="48" spans="2:18">
      <c r="B48" s="174">
        <v>46</v>
      </c>
      <c r="C48" s="174" t="s">
        <v>429</v>
      </c>
      <c r="D48" s="174" t="s">
        <v>435</v>
      </c>
      <c r="E48" s="174" t="s">
        <v>437</v>
      </c>
      <c r="F48" s="175">
        <v>42.306406000000003</v>
      </c>
      <c r="G48" s="175">
        <v>4.0233059999999998</v>
      </c>
      <c r="H48" s="176">
        <v>18909</v>
      </c>
      <c r="I48" s="185">
        <f t="shared" si="0"/>
        <v>8509</v>
      </c>
      <c r="J48" s="174">
        <f t="shared" si="1"/>
        <v>323</v>
      </c>
      <c r="K48" s="174">
        <f t="shared" si="2"/>
        <v>1531</v>
      </c>
      <c r="L48" s="174">
        <f t="shared" si="3"/>
        <v>382</v>
      </c>
      <c r="M48" s="174">
        <f t="shared" si="4"/>
        <v>340</v>
      </c>
      <c r="N48" s="174">
        <f t="shared" si="5"/>
        <v>1871</v>
      </c>
    </row>
    <row r="49" spans="2:14">
      <c r="B49" s="174">
        <v>47</v>
      </c>
      <c r="C49" s="174" t="s">
        <v>429</v>
      </c>
      <c r="D49" s="174" t="s">
        <v>435</v>
      </c>
      <c r="E49" s="174" t="s">
        <v>438</v>
      </c>
      <c r="F49" s="175">
        <v>42.079028000000001</v>
      </c>
      <c r="G49" s="175">
        <v>4.1642190000000001</v>
      </c>
      <c r="H49" s="176">
        <v>8678</v>
      </c>
      <c r="I49" s="185">
        <f t="shared" si="0"/>
        <v>3905</v>
      </c>
      <c r="J49" s="174">
        <f t="shared" si="1"/>
        <v>148</v>
      </c>
      <c r="K49" s="174">
        <f t="shared" si="2"/>
        <v>702</v>
      </c>
      <c r="L49" s="174">
        <f t="shared" si="3"/>
        <v>175</v>
      </c>
      <c r="M49" s="174">
        <f t="shared" si="4"/>
        <v>156</v>
      </c>
      <c r="N49" s="174">
        <f t="shared" si="5"/>
        <v>859</v>
      </c>
    </row>
    <row r="50" spans="2:14">
      <c r="B50" s="174">
        <v>48</v>
      </c>
      <c r="C50" s="174" t="s">
        <v>429</v>
      </c>
      <c r="D50" s="174" t="s">
        <v>439</v>
      </c>
      <c r="E50" s="174" t="s">
        <v>440</v>
      </c>
      <c r="F50" s="175">
        <v>42.215257000000001</v>
      </c>
      <c r="G50" s="175">
        <v>3.33127</v>
      </c>
      <c r="H50" s="176">
        <v>69794</v>
      </c>
      <c r="I50" s="185">
        <f t="shared" si="0"/>
        <v>31407</v>
      </c>
      <c r="J50" s="174">
        <f t="shared" si="1"/>
        <v>1193</v>
      </c>
      <c r="K50" s="174">
        <f t="shared" si="2"/>
        <v>5653</v>
      </c>
      <c r="L50" s="174">
        <f t="shared" si="3"/>
        <v>1413</v>
      </c>
      <c r="M50" s="174">
        <f t="shared" si="4"/>
        <v>1256</v>
      </c>
      <c r="N50" s="174">
        <f t="shared" si="5"/>
        <v>6909</v>
      </c>
    </row>
    <row r="51" spans="2:14">
      <c r="B51" s="174">
        <v>49</v>
      </c>
      <c r="C51" s="174" t="s">
        <v>429</v>
      </c>
      <c r="D51" s="174" t="s">
        <v>439</v>
      </c>
      <c r="E51" s="174" t="s">
        <v>441</v>
      </c>
      <c r="F51" s="175">
        <v>42.215361999999999</v>
      </c>
      <c r="G51" s="175">
        <v>3.3310240000000002</v>
      </c>
      <c r="H51" s="176">
        <v>19544</v>
      </c>
      <c r="I51" s="185">
        <f t="shared" si="0"/>
        <v>8794</v>
      </c>
      <c r="J51" s="174">
        <f t="shared" si="1"/>
        <v>334</v>
      </c>
      <c r="K51" s="174">
        <f t="shared" si="2"/>
        <v>1582</v>
      </c>
      <c r="L51" s="174">
        <f t="shared" si="3"/>
        <v>395</v>
      </c>
      <c r="M51" s="174">
        <f t="shared" si="4"/>
        <v>351</v>
      </c>
      <c r="N51" s="174">
        <f t="shared" si="5"/>
        <v>1934</v>
      </c>
    </row>
    <row r="52" spans="2:14">
      <c r="B52" s="174">
        <v>50</v>
      </c>
      <c r="C52" s="174" t="s">
        <v>429</v>
      </c>
      <c r="D52" s="174" t="s">
        <v>439</v>
      </c>
      <c r="E52" s="174" t="s">
        <v>442</v>
      </c>
      <c r="F52" s="175">
        <v>42.215257000000001</v>
      </c>
      <c r="G52" s="175">
        <v>3.33127</v>
      </c>
      <c r="H52" s="176">
        <v>22278</v>
      </c>
      <c r="I52" s="185">
        <f t="shared" si="0"/>
        <v>10025</v>
      </c>
      <c r="J52" s="174">
        <f t="shared" si="1"/>
        <v>380</v>
      </c>
      <c r="K52" s="174">
        <f t="shared" si="2"/>
        <v>1804</v>
      </c>
      <c r="L52" s="174">
        <f t="shared" si="3"/>
        <v>451</v>
      </c>
      <c r="M52" s="174">
        <f t="shared" si="4"/>
        <v>401</v>
      </c>
      <c r="N52" s="174">
        <f t="shared" si="5"/>
        <v>2205</v>
      </c>
    </row>
    <row r="53" spans="2:14">
      <c r="B53" s="174">
        <v>51</v>
      </c>
      <c r="C53" s="174" t="s">
        <v>429</v>
      </c>
      <c r="D53" s="174" t="s">
        <v>443</v>
      </c>
      <c r="E53" s="178" t="s">
        <v>444</v>
      </c>
      <c r="F53" s="175">
        <v>42.544603000000002</v>
      </c>
      <c r="G53" s="175">
        <v>3.8002690000000001</v>
      </c>
      <c r="H53" s="176">
        <v>29659</v>
      </c>
      <c r="I53" s="185">
        <f t="shared" si="0"/>
        <v>13346</v>
      </c>
      <c r="J53" s="174">
        <f t="shared" si="1"/>
        <v>507</v>
      </c>
      <c r="K53" s="174">
        <f t="shared" si="2"/>
        <v>2402</v>
      </c>
      <c r="L53" s="174">
        <f t="shared" si="3"/>
        <v>600</v>
      </c>
      <c r="M53" s="174">
        <f t="shared" si="4"/>
        <v>533</v>
      </c>
      <c r="N53" s="174">
        <f t="shared" si="5"/>
        <v>2936</v>
      </c>
    </row>
    <row r="54" spans="2:14">
      <c r="B54" s="174">
        <v>52</v>
      </c>
      <c r="C54" s="174" t="s">
        <v>429</v>
      </c>
      <c r="D54" s="174" t="s">
        <v>443</v>
      </c>
      <c r="E54" s="178" t="s">
        <v>445</v>
      </c>
      <c r="F54" s="175">
        <v>42.922927999999999</v>
      </c>
      <c r="G54" s="175">
        <v>4.3164170000000004</v>
      </c>
      <c r="H54" s="176">
        <v>70647</v>
      </c>
      <c r="I54" s="185">
        <f t="shared" si="0"/>
        <v>31791</v>
      </c>
      <c r="J54" s="174">
        <f t="shared" si="1"/>
        <v>1208</v>
      </c>
      <c r="K54" s="174">
        <f t="shared" si="2"/>
        <v>5722</v>
      </c>
      <c r="L54" s="174">
        <f t="shared" si="3"/>
        <v>1430</v>
      </c>
      <c r="M54" s="174">
        <f t="shared" si="4"/>
        <v>1271</v>
      </c>
      <c r="N54" s="174">
        <f t="shared" si="5"/>
        <v>6994</v>
      </c>
    </row>
    <row r="55" spans="2:14">
      <c r="B55" s="174">
        <v>53</v>
      </c>
      <c r="C55" s="174" t="s">
        <v>429</v>
      </c>
      <c r="D55" s="174" t="s">
        <v>443</v>
      </c>
      <c r="E55" s="174" t="s">
        <v>446</v>
      </c>
      <c r="F55" s="175">
        <v>42.666443999999998</v>
      </c>
      <c r="G55" s="175">
        <v>4.0465559999999998</v>
      </c>
      <c r="H55" s="176">
        <v>10941</v>
      </c>
      <c r="I55" s="185">
        <f t="shared" si="0"/>
        <v>4923</v>
      </c>
      <c r="J55" s="174">
        <f t="shared" si="1"/>
        <v>187</v>
      </c>
      <c r="K55" s="174">
        <f t="shared" si="2"/>
        <v>886</v>
      </c>
      <c r="L55" s="174">
        <f t="shared" si="3"/>
        <v>221</v>
      </c>
      <c r="M55" s="174">
        <f t="shared" si="4"/>
        <v>196</v>
      </c>
      <c r="N55" s="174">
        <f t="shared" si="5"/>
        <v>1083</v>
      </c>
    </row>
    <row r="56" spans="2:14">
      <c r="B56" s="174">
        <v>54</v>
      </c>
      <c r="C56" s="174" t="s">
        <v>429</v>
      </c>
      <c r="D56" s="174" t="s">
        <v>443</v>
      </c>
      <c r="E56" s="174" t="s">
        <v>447</v>
      </c>
      <c r="F56" s="175">
        <v>42.922927999999999</v>
      </c>
      <c r="G56" s="175">
        <v>4.3164170000000004</v>
      </c>
      <c r="H56" s="176">
        <v>11667</v>
      </c>
      <c r="I56" s="185">
        <f t="shared" si="0"/>
        <v>5250</v>
      </c>
      <c r="J56" s="174">
        <f t="shared" si="1"/>
        <v>199</v>
      </c>
      <c r="K56" s="174">
        <f t="shared" si="2"/>
        <v>945</v>
      </c>
      <c r="L56" s="174">
        <f t="shared" si="3"/>
        <v>236</v>
      </c>
      <c r="M56" s="174">
        <f t="shared" si="4"/>
        <v>210</v>
      </c>
      <c r="N56" s="174">
        <f t="shared" si="5"/>
        <v>1155</v>
      </c>
    </row>
    <row r="57" spans="2:14">
      <c r="B57" s="174">
        <v>55</v>
      </c>
      <c r="C57" s="174" t="s">
        <v>429</v>
      </c>
      <c r="D57" s="174" t="s">
        <v>443</v>
      </c>
      <c r="E57" s="174" t="s">
        <v>448</v>
      </c>
      <c r="F57" s="175">
        <v>42.530287000000001</v>
      </c>
      <c r="G57" s="175">
        <v>3.8805730000000001</v>
      </c>
      <c r="H57" s="176">
        <v>3502</v>
      </c>
      <c r="I57" s="185">
        <f t="shared" si="0"/>
        <v>1575</v>
      </c>
      <c r="J57" s="174">
        <f t="shared" si="1"/>
        <v>59</v>
      </c>
      <c r="K57" s="174">
        <f t="shared" si="2"/>
        <v>283</v>
      </c>
      <c r="L57" s="174">
        <f t="shared" si="3"/>
        <v>70</v>
      </c>
      <c r="M57" s="174">
        <f t="shared" si="4"/>
        <v>63</v>
      </c>
      <c r="N57" s="174">
        <f t="shared" si="5"/>
        <v>346</v>
      </c>
    </row>
    <row r="58" spans="2:14">
      <c r="B58" s="174">
        <v>56</v>
      </c>
      <c r="C58" s="174" t="s">
        <v>449</v>
      </c>
      <c r="D58" s="174" t="s">
        <v>450</v>
      </c>
      <c r="E58" s="174" t="s">
        <v>451</v>
      </c>
      <c r="F58" s="175">
        <v>45.346094999999998</v>
      </c>
      <c r="G58" s="175">
        <v>2.0353150000000002</v>
      </c>
      <c r="H58" s="179">
        <v>30887</v>
      </c>
      <c r="I58" s="185">
        <f t="shared" si="0"/>
        <v>13899</v>
      </c>
      <c r="J58" s="174">
        <f t="shared" si="1"/>
        <v>528</v>
      </c>
      <c r="K58" s="174">
        <f t="shared" si="2"/>
        <v>2501</v>
      </c>
      <c r="L58" s="174">
        <f t="shared" si="3"/>
        <v>625</v>
      </c>
      <c r="M58" s="174">
        <f t="shared" si="4"/>
        <v>555</v>
      </c>
      <c r="N58" s="174">
        <f t="shared" si="5"/>
        <v>3057</v>
      </c>
    </row>
    <row r="59" spans="2:14">
      <c r="B59" s="174">
        <v>57</v>
      </c>
      <c r="C59" s="174" t="s">
        <v>449</v>
      </c>
      <c r="D59" s="174" t="s">
        <v>452</v>
      </c>
      <c r="E59" s="174" t="s">
        <v>453</v>
      </c>
      <c r="F59" s="175">
        <v>45.287484999999997</v>
      </c>
      <c r="G59" s="175">
        <v>2.1286</v>
      </c>
      <c r="H59" s="176">
        <v>52877</v>
      </c>
      <c r="I59" s="185">
        <f t="shared" si="0"/>
        <v>23794</v>
      </c>
      <c r="J59" s="174">
        <f t="shared" si="1"/>
        <v>904</v>
      </c>
      <c r="K59" s="174">
        <f t="shared" si="2"/>
        <v>4282</v>
      </c>
      <c r="L59" s="174">
        <f t="shared" si="3"/>
        <v>1070</v>
      </c>
      <c r="M59" s="174">
        <f t="shared" si="4"/>
        <v>951</v>
      </c>
      <c r="N59" s="174">
        <f t="shared" si="5"/>
        <v>5234</v>
      </c>
    </row>
    <row r="60" spans="2:14">
      <c r="B60" s="174">
        <v>58</v>
      </c>
      <c r="C60" s="174" t="s">
        <v>449</v>
      </c>
      <c r="D60" s="174" t="s">
        <v>452</v>
      </c>
      <c r="E60" s="174" t="s">
        <v>454</v>
      </c>
      <c r="F60" s="175">
        <v>45.330730000000003</v>
      </c>
      <c r="G60" s="175">
        <v>2.0836199999999998</v>
      </c>
      <c r="H60" s="176">
        <v>9937</v>
      </c>
      <c r="I60" s="185">
        <f t="shared" si="0"/>
        <v>4471</v>
      </c>
      <c r="J60" s="174">
        <f t="shared" si="1"/>
        <v>169</v>
      </c>
      <c r="K60" s="174">
        <f t="shared" si="2"/>
        <v>804</v>
      </c>
      <c r="L60" s="174">
        <f t="shared" si="3"/>
        <v>201</v>
      </c>
      <c r="M60" s="174">
        <f t="shared" si="4"/>
        <v>178</v>
      </c>
      <c r="N60" s="174">
        <f t="shared" si="5"/>
        <v>983</v>
      </c>
    </row>
    <row r="61" spans="2:14">
      <c r="B61" s="174">
        <v>59</v>
      </c>
      <c r="C61" s="174" t="s">
        <v>449</v>
      </c>
      <c r="D61" s="174" t="s">
        <v>452</v>
      </c>
      <c r="E61" s="174" t="s">
        <v>455</v>
      </c>
      <c r="F61" s="175">
        <v>45.251302000000003</v>
      </c>
      <c r="G61" s="175">
        <v>2.078732</v>
      </c>
      <c r="H61" s="176">
        <v>8594</v>
      </c>
      <c r="I61" s="185">
        <f t="shared" si="0"/>
        <v>3867</v>
      </c>
      <c r="J61" s="174">
        <f t="shared" si="1"/>
        <v>146</v>
      </c>
      <c r="K61" s="174">
        <f t="shared" si="2"/>
        <v>696</v>
      </c>
      <c r="L61" s="174">
        <f t="shared" si="3"/>
        <v>174</v>
      </c>
      <c r="M61" s="174">
        <f t="shared" si="4"/>
        <v>154</v>
      </c>
      <c r="N61" s="174">
        <f t="shared" si="5"/>
        <v>850</v>
      </c>
    </row>
    <row r="62" spans="2:14">
      <c r="B62" s="174">
        <v>60</v>
      </c>
      <c r="C62" s="174" t="s">
        <v>449</v>
      </c>
      <c r="D62" s="174" t="s">
        <v>452</v>
      </c>
      <c r="E62" s="174" t="s">
        <v>456</v>
      </c>
      <c r="F62" s="175">
        <v>45.251309999999997</v>
      </c>
      <c r="G62" s="175">
        <v>2.0787610000000001</v>
      </c>
      <c r="H62" s="176">
        <v>6731</v>
      </c>
      <c r="I62" s="185">
        <f t="shared" si="0"/>
        <v>3028</v>
      </c>
      <c r="J62" s="174">
        <f t="shared" si="1"/>
        <v>115</v>
      </c>
      <c r="K62" s="174">
        <f t="shared" si="2"/>
        <v>545</v>
      </c>
      <c r="L62" s="174">
        <f t="shared" si="3"/>
        <v>136</v>
      </c>
      <c r="M62" s="174">
        <f t="shared" si="4"/>
        <v>121</v>
      </c>
      <c r="N62" s="174">
        <f t="shared" si="5"/>
        <v>666</v>
      </c>
    </row>
    <row r="63" spans="2:14">
      <c r="B63" s="174">
        <v>61</v>
      </c>
      <c r="C63" s="174" t="s">
        <v>449</v>
      </c>
      <c r="D63" s="174" t="s">
        <v>457</v>
      </c>
      <c r="E63" s="174" t="s">
        <v>458</v>
      </c>
      <c r="F63" s="175">
        <v>45.315114999999999</v>
      </c>
      <c r="G63" s="175">
        <v>2.049137</v>
      </c>
      <c r="H63" s="176">
        <v>17821</v>
      </c>
      <c r="I63" s="185">
        <f t="shared" si="0"/>
        <v>8019</v>
      </c>
      <c r="J63" s="174">
        <f t="shared" si="1"/>
        <v>304</v>
      </c>
      <c r="K63" s="174">
        <f t="shared" si="2"/>
        <v>1443</v>
      </c>
      <c r="L63" s="174">
        <f t="shared" si="3"/>
        <v>360</v>
      </c>
      <c r="M63" s="174">
        <f t="shared" si="4"/>
        <v>320</v>
      </c>
      <c r="N63" s="174">
        <f t="shared" si="5"/>
        <v>1764</v>
      </c>
    </row>
    <row r="64" spans="2:14">
      <c r="B64" s="174">
        <v>62</v>
      </c>
      <c r="C64" s="174" t="s">
        <v>449</v>
      </c>
      <c r="D64" s="174" t="s">
        <v>457</v>
      </c>
      <c r="E64" s="174" t="s">
        <v>459</v>
      </c>
      <c r="F64" s="175">
        <v>45.318016</v>
      </c>
      <c r="G64" s="175">
        <v>2.0363859999999998</v>
      </c>
      <c r="H64" s="176">
        <v>14276</v>
      </c>
      <c r="I64" s="185">
        <f t="shared" si="0"/>
        <v>6424</v>
      </c>
      <c r="J64" s="174">
        <f t="shared" si="1"/>
        <v>244</v>
      </c>
      <c r="K64" s="174">
        <f t="shared" si="2"/>
        <v>1156</v>
      </c>
      <c r="L64" s="174">
        <f t="shared" si="3"/>
        <v>289</v>
      </c>
      <c r="M64" s="174">
        <f t="shared" si="4"/>
        <v>256</v>
      </c>
      <c r="N64" s="174">
        <f t="shared" si="5"/>
        <v>1413</v>
      </c>
    </row>
    <row r="65" spans="2:14">
      <c r="B65" s="174">
        <v>63</v>
      </c>
      <c r="C65" s="174" t="s">
        <v>460</v>
      </c>
      <c r="D65" s="174" t="s">
        <v>461</v>
      </c>
      <c r="E65" s="174" t="s">
        <v>462</v>
      </c>
      <c r="F65" s="175">
        <v>46.37585</v>
      </c>
      <c r="G65" s="175">
        <v>5.5452310000000002</v>
      </c>
      <c r="H65" s="176">
        <v>82931</v>
      </c>
      <c r="I65" s="185">
        <f t="shared" si="0"/>
        <v>37318</v>
      </c>
      <c r="J65" s="174">
        <f t="shared" si="1"/>
        <v>1418</v>
      </c>
      <c r="K65" s="174">
        <f t="shared" si="2"/>
        <v>6717</v>
      </c>
      <c r="L65" s="174">
        <f t="shared" si="3"/>
        <v>1679</v>
      </c>
      <c r="M65" s="174">
        <f t="shared" si="4"/>
        <v>1492</v>
      </c>
      <c r="N65" s="174">
        <f t="shared" si="5"/>
        <v>8209</v>
      </c>
    </row>
    <row r="66" spans="2:14">
      <c r="B66" s="174">
        <v>64</v>
      </c>
      <c r="C66" s="174" t="s">
        <v>460</v>
      </c>
      <c r="D66" s="174" t="s">
        <v>461</v>
      </c>
      <c r="E66" s="174" t="s">
        <v>463</v>
      </c>
      <c r="F66" s="175">
        <v>45.870100000000001</v>
      </c>
      <c r="G66" s="175">
        <v>5.3041999999999998</v>
      </c>
      <c r="H66" s="176">
        <v>74483</v>
      </c>
      <c r="I66" s="185">
        <f t="shared" si="0"/>
        <v>33517</v>
      </c>
      <c r="J66" s="174">
        <f t="shared" si="1"/>
        <v>1273</v>
      </c>
      <c r="K66" s="174">
        <f t="shared" si="2"/>
        <v>6033</v>
      </c>
      <c r="L66" s="174">
        <f t="shared" si="3"/>
        <v>1508</v>
      </c>
      <c r="M66" s="174">
        <f t="shared" si="4"/>
        <v>1340</v>
      </c>
      <c r="N66" s="174">
        <f t="shared" si="5"/>
        <v>7373</v>
      </c>
    </row>
    <row r="67" spans="2:14">
      <c r="B67" s="174">
        <v>65</v>
      </c>
      <c r="C67" s="174" t="s">
        <v>460</v>
      </c>
      <c r="D67" s="174" t="s">
        <v>461</v>
      </c>
      <c r="E67" s="174" t="s">
        <v>464</v>
      </c>
      <c r="F67" s="175">
        <v>46.369100000000003</v>
      </c>
      <c r="G67" s="175">
        <v>5.9212999999999996</v>
      </c>
      <c r="H67" s="176">
        <v>11379</v>
      </c>
      <c r="I67" s="185">
        <f t="shared" si="0"/>
        <v>5120</v>
      </c>
      <c r="J67" s="174">
        <f t="shared" si="1"/>
        <v>194</v>
      </c>
      <c r="K67" s="174">
        <f t="shared" si="2"/>
        <v>921</v>
      </c>
      <c r="L67" s="174">
        <f t="shared" si="3"/>
        <v>230</v>
      </c>
      <c r="M67" s="174">
        <f t="shared" si="4"/>
        <v>204</v>
      </c>
      <c r="N67" s="174">
        <f t="shared" si="5"/>
        <v>1126</v>
      </c>
    </row>
    <row r="68" spans="2:14">
      <c r="B68" s="174">
        <v>66</v>
      </c>
      <c r="C68" s="174" t="s">
        <v>460</v>
      </c>
      <c r="D68" s="174" t="s">
        <v>461</v>
      </c>
      <c r="E68" s="174" t="s">
        <v>465</v>
      </c>
      <c r="F68" s="175">
        <v>46.512340999999999</v>
      </c>
      <c r="G68" s="175">
        <v>5.7509969999999999</v>
      </c>
      <c r="H68" s="176">
        <v>9713</v>
      </c>
      <c r="I68" s="185">
        <f t="shared" ref="I68:I89" si="6">INT(H68*0.45)</f>
        <v>4370</v>
      </c>
      <c r="J68" s="174">
        <f t="shared" ref="J68:J89" si="7">INT(I68*3.8%)</f>
        <v>166</v>
      </c>
      <c r="K68" s="174">
        <f t="shared" ref="K68:K89" si="8">INT(I68*18%)</f>
        <v>786</v>
      </c>
      <c r="L68" s="174">
        <f t="shared" ref="L68:L89" si="9">INT(I68*4.5%)</f>
        <v>196</v>
      </c>
      <c r="M68" s="174">
        <f t="shared" ref="M68:M89" si="10">INT(I68*4%)</f>
        <v>174</v>
      </c>
      <c r="N68" s="174">
        <f t="shared" ref="N68:N89" si="11">INT(I68*22%)</f>
        <v>961</v>
      </c>
    </row>
    <row r="69" spans="2:14">
      <c r="B69" s="174">
        <v>67</v>
      </c>
      <c r="C69" s="174" t="s">
        <v>460</v>
      </c>
      <c r="D69" s="174" t="s">
        <v>461</v>
      </c>
      <c r="E69" s="174" t="s">
        <v>466</v>
      </c>
      <c r="F69" s="175">
        <v>46.675977199999998</v>
      </c>
      <c r="G69" s="175">
        <v>5.6924979000000002</v>
      </c>
      <c r="H69" s="176">
        <v>13965</v>
      </c>
      <c r="I69" s="185">
        <f t="shared" si="6"/>
        <v>6284</v>
      </c>
      <c r="J69" s="174">
        <f t="shared" si="7"/>
        <v>238</v>
      </c>
      <c r="K69" s="174">
        <f t="shared" si="8"/>
        <v>1131</v>
      </c>
      <c r="L69" s="174">
        <f t="shared" si="9"/>
        <v>282</v>
      </c>
      <c r="M69" s="174">
        <f t="shared" si="10"/>
        <v>251</v>
      </c>
      <c r="N69" s="174">
        <f t="shared" si="11"/>
        <v>1382</v>
      </c>
    </row>
    <row r="70" spans="2:14">
      <c r="B70" s="174">
        <v>68</v>
      </c>
      <c r="C70" s="174" t="s">
        <v>460</v>
      </c>
      <c r="D70" s="174" t="s">
        <v>461</v>
      </c>
      <c r="E70" s="174" t="s">
        <v>467</v>
      </c>
      <c r="F70" s="175">
        <v>46.528557999999997</v>
      </c>
      <c r="G70" s="175">
        <v>5.4722939999999998</v>
      </c>
      <c r="H70" s="176">
        <v>8348</v>
      </c>
      <c r="I70" s="185">
        <f t="shared" si="6"/>
        <v>3756</v>
      </c>
      <c r="J70" s="174">
        <f t="shared" si="7"/>
        <v>142</v>
      </c>
      <c r="K70" s="174">
        <f t="shared" si="8"/>
        <v>676</v>
      </c>
      <c r="L70" s="174">
        <f t="shared" si="9"/>
        <v>169</v>
      </c>
      <c r="M70" s="174">
        <f t="shared" si="10"/>
        <v>150</v>
      </c>
      <c r="N70" s="174">
        <f t="shared" si="11"/>
        <v>826</v>
      </c>
    </row>
    <row r="71" spans="2:14">
      <c r="B71" s="174">
        <v>69</v>
      </c>
      <c r="C71" s="174" t="s">
        <v>460</v>
      </c>
      <c r="D71" s="174" t="s">
        <v>461</v>
      </c>
      <c r="E71" s="174" t="s">
        <v>468</v>
      </c>
      <c r="F71" s="175">
        <v>46.528514999999999</v>
      </c>
      <c r="G71" s="175">
        <v>5.4719819999999997</v>
      </c>
      <c r="H71" s="176">
        <v>4208</v>
      </c>
      <c r="I71" s="185">
        <f t="shared" si="6"/>
        <v>1893</v>
      </c>
      <c r="J71" s="174">
        <f t="shared" si="7"/>
        <v>71</v>
      </c>
      <c r="K71" s="174">
        <f t="shared" si="8"/>
        <v>340</v>
      </c>
      <c r="L71" s="174">
        <f t="shared" si="9"/>
        <v>85</v>
      </c>
      <c r="M71" s="174">
        <f t="shared" si="10"/>
        <v>75</v>
      </c>
      <c r="N71" s="174">
        <f t="shared" si="11"/>
        <v>416</v>
      </c>
    </row>
    <row r="72" spans="2:14">
      <c r="B72" s="174">
        <v>70</v>
      </c>
      <c r="C72" s="174" t="s">
        <v>469</v>
      </c>
      <c r="D72" s="174" t="s">
        <v>470</v>
      </c>
      <c r="E72" s="174" t="s">
        <v>471</v>
      </c>
      <c r="F72" s="175">
        <v>48.524963</v>
      </c>
      <c r="G72" s="175">
        <v>5.3504459999999998</v>
      </c>
      <c r="H72" s="176">
        <v>55611</v>
      </c>
      <c r="I72" s="185">
        <f t="shared" si="6"/>
        <v>25024</v>
      </c>
      <c r="J72" s="174">
        <f t="shared" si="7"/>
        <v>950</v>
      </c>
      <c r="K72" s="174">
        <f t="shared" si="8"/>
        <v>4504</v>
      </c>
      <c r="L72" s="174">
        <f t="shared" si="9"/>
        <v>1126</v>
      </c>
      <c r="M72" s="174">
        <f t="shared" si="10"/>
        <v>1000</v>
      </c>
      <c r="N72" s="174">
        <f t="shared" si="11"/>
        <v>5505</v>
      </c>
    </row>
    <row r="73" spans="2:14">
      <c r="B73" s="174">
        <v>71</v>
      </c>
      <c r="C73" s="174" t="s">
        <v>469</v>
      </c>
      <c r="D73" s="174" t="s">
        <v>470</v>
      </c>
      <c r="E73" s="174" t="s">
        <v>472</v>
      </c>
      <c r="F73" s="175">
        <v>48.128701999999997</v>
      </c>
      <c r="G73" s="175">
        <v>5.425935</v>
      </c>
      <c r="H73" s="176">
        <v>52701</v>
      </c>
      <c r="I73" s="185">
        <f t="shared" si="6"/>
        <v>23715</v>
      </c>
      <c r="J73" s="174">
        <f t="shared" si="7"/>
        <v>901</v>
      </c>
      <c r="K73" s="174">
        <f t="shared" si="8"/>
        <v>4268</v>
      </c>
      <c r="L73" s="174">
        <f t="shared" si="9"/>
        <v>1067</v>
      </c>
      <c r="M73" s="174">
        <f t="shared" si="10"/>
        <v>948</v>
      </c>
      <c r="N73" s="174">
        <f t="shared" si="11"/>
        <v>5217</v>
      </c>
    </row>
    <row r="74" spans="2:14">
      <c r="B74" s="174">
        <v>72</v>
      </c>
      <c r="C74" s="174" t="s">
        <v>469</v>
      </c>
      <c r="D74" s="174" t="s">
        <v>470</v>
      </c>
      <c r="E74" s="174" t="s">
        <v>473</v>
      </c>
      <c r="F74" s="175">
        <v>47.851362000000002</v>
      </c>
      <c r="G74" s="175">
        <v>6.0136539999999998</v>
      </c>
      <c r="H74" s="176">
        <v>11203</v>
      </c>
      <c r="I74" s="185">
        <f t="shared" si="6"/>
        <v>5041</v>
      </c>
      <c r="J74" s="174">
        <f t="shared" si="7"/>
        <v>191</v>
      </c>
      <c r="K74" s="174">
        <f t="shared" si="8"/>
        <v>907</v>
      </c>
      <c r="L74" s="174">
        <f t="shared" si="9"/>
        <v>226</v>
      </c>
      <c r="M74" s="174">
        <f t="shared" si="10"/>
        <v>201</v>
      </c>
      <c r="N74" s="174">
        <f t="shared" si="11"/>
        <v>1109</v>
      </c>
    </row>
    <row r="75" spans="2:14">
      <c r="B75" s="174">
        <v>73</v>
      </c>
      <c r="C75" s="174" t="s">
        <v>469</v>
      </c>
      <c r="D75" s="174" t="s">
        <v>470</v>
      </c>
      <c r="E75" s="174" t="s">
        <v>474</v>
      </c>
      <c r="F75" s="175">
        <v>48.349715000000003</v>
      </c>
      <c r="G75" s="175">
        <v>5.8871510000000002</v>
      </c>
      <c r="H75" s="176">
        <v>14150</v>
      </c>
      <c r="I75" s="185">
        <f t="shared" si="6"/>
        <v>6367</v>
      </c>
      <c r="J75" s="174">
        <f t="shared" si="7"/>
        <v>241</v>
      </c>
      <c r="K75" s="174">
        <f t="shared" si="8"/>
        <v>1146</v>
      </c>
      <c r="L75" s="174">
        <f t="shared" si="9"/>
        <v>286</v>
      </c>
      <c r="M75" s="174">
        <f t="shared" si="10"/>
        <v>254</v>
      </c>
      <c r="N75" s="174">
        <f t="shared" si="11"/>
        <v>1400</v>
      </c>
    </row>
    <row r="76" spans="2:14">
      <c r="B76" s="174">
        <v>74</v>
      </c>
      <c r="C76" s="174" t="s">
        <v>469</v>
      </c>
      <c r="D76" s="174" t="s">
        <v>470</v>
      </c>
      <c r="E76" s="174" t="s">
        <v>475</v>
      </c>
      <c r="F76" s="175">
        <v>48.298121000000002</v>
      </c>
      <c r="G76" s="175">
        <v>5.3106609999999996</v>
      </c>
      <c r="H76" s="176">
        <v>8499</v>
      </c>
      <c r="I76" s="185">
        <f t="shared" si="6"/>
        <v>3824</v>
      </c>
      <c r="J76" s="174">
        <f t="shared" si="7"/>
        <v>145</v>
      </c>
      <c r="K76" s="174">
        <f t="shared" si="8"/>
        <v>688</v>
      </c>
      <c r="L76" s="174">
        <f t="shared" si="9"/>
        <v>172</v>
      </c>
      <c r="M76" s="174">
        <f t="shared" si="10"/>
        <v>152</v>
      </c>
      <c r="N76" s="174">
        <f t="shared" si="11"/>
        <v>841</v>
      </c>
    </row>
    <row r="77" spans="2:14">
      <c r="B77" s="174">
        <v>75</v>
      </c>
      <c r="C77" s="174" t="s">
        <v>469</v>
      </c>
      <c r="D77" s="174" t="s">
        <v>470</v>
      </c>
      <c r="E77" s="174" t="s">
        <v>476</v>
      </c>
      <c r="F77" s="175">
        <v>48.685465000000001</v>
      </c>
      <c r="G77" s="175">
        <v>6.1741039999999998</v>
      </c>
      <c r="H77" s="176">
        <v>17066</v>
      </c>
      <c r="I77" s="185">
        <f t="shared" si="6"/>
        <v>7679</v>
      </c>
      <c r="J77" s="174">
        <f t="shared" si="7"/>
        <v>291</v>
      </c>
      <c r="K77" s="174">
        <f t="shared" si="8"/>
        <v>1382</v>
      </c>
      <c r="L77" s="174">
        <f t="shared" si="9"/>
        <v>345</v>
      </c>
      <c r="M77" s="174">
        <f t="shared" si="10"/>
        <v>307</v>
      </c>
      <c r="N77" s="174">
        <f t="shared" si="11"/>
        <v>1689</v>
      </c>
    </row>
    <row r="78" spans="2:14">
      <c r="B78" s="174">
        <v>76</v>
      </c>
      <c r="C78" s="174" t="s">
        <v>469</v>
      </c>
      <c r="D78" s="174" t="s">
        <v>470</v>
      </c>
      <c r="E78" s="174" t="s">
        <v>477</v>
      </c>
      <c r="F78" s="175">
        <v>48.240788000000002</v>
      </c>
      <c r="G78" s="175">
        <v>5.578284</v>
      </c>
      <c r="H78" s="176">
        <v>7387</v>
      </c>
      <c r="I78" s="185">
        <f t="shared" si="6"/>
        <v>3324</v>
      </c>
      <c r="J78" s="174">
        <f t="shared" si="7"/>
        <v>126</v>
      </c>
      <c r="K78" s="174">
        <f t="shared" si="8"/>
        <v>598</v>
      </c>
      <c r="L78" s="174">
        <f t="shared" si="9"/>
        <v>149</v>
      </c>
      <c r="M78" s="174">
        <f t="shared" si="10"/>
        <v>132</v>
      </c>
      <c r="N78" s="174">
        <f t="shared" si="11"/>
        <v>731</v>
      </c>
    </row>
    <row r="79" spans="2:14">
      <c r="B79" s="174">
        <v>77</v>
      </c>
      <c r="C79" s="174" t="s">
        <v>469</v>
      </c>
      <c r="D79" s="174" t="s">
        <v>470</v>
      </c>
      <c r="E79" s="174" t="s">
        <v>478</v>
      </c>
      <c r="F79" s="175">
        <v>47.705109999999998</v>
      </c>
      <c r="G79" s="175">
        <v>5.7893699999999999</v>
      </c>
      <c r="H79" s="176">
        <v>7749</v>
      </c>
      <c r="I79" s="185">
        <f t="shared" si="6"/>
        <v>3487</v>
      </c>
      <c r="J79" s="174">
        <f t="shared" si="7"/>
        <v>132</v>
      </c>
      <c r="K79" s="174">
        <f t="shared" si="8"/>
        <v>627</v>
      </c>
      <c r="L79" s="174">
        <f t="shared" si="9"/>
        <v>156</v>
      </c>
      <c r="M79" s="174">
        <f t="shared" si="10"/>
        <v>139</v>
      </c>
      <c r="N79" s="174">
        <f t="shared" si="11"/>
        <v>767</v>
      </c>
    </row>
    <row r="80" spans="2:14">
      <c r="B80" s="174">
        <v>78</v>
      </c>
      <c r="C80" s="174" t="s">
        <v>469</v>
      </c>
      <c r="D80" s="174" t="s">
        <v>470</v>
      </c>
      <c r="E80" s="174" t="s">
        <v>479</v>
      </c>
      <c r="F80" s="175">
        <v>47.488796999999998</v>
      </c>
      <c r="G80" s="175">
        <v>5.7905499999999996</v>
      </c>
      <c r="H80" s="176">
        <v>5194</v>
      </c>
      <c r="I80" s="185">
        <f t="shared" si="6"/>
        <v>2337</v>
      </c>
      <c r="J80" s="174">
        <f t="shared" si="7"/>
        <v>88</v>
      </c>
      <c r="K80" s="174">
        <f t="shared" si="8"/>
        <v>420</v>
      </c>
      <c r="L80" s="174">
        <f t="shared" si="9"/>
        <v>105</v>
      </c>
      <c r="M80" s="174">
        <f t="shared" si="10"/>
        <v>93</v>
      </c>
      <c r="N80" s="174">
        <f t="shared" si="11"/>
        <v>514</v>
      </c>
    </row>
    <row r="81" spans="2:14">
      <c r="B81" s="174">
        <v>79</v>
      </c>
      <c r="C81" s="180" t="s">
        <v>469</v>
      </c>
      <c r="D81" s="180" t="s">
        <v>470</v>
      </c>
      <c r="E81" s="180" t="s">
        <v>480</v>
      </c>
      <c r="F81" s="175"/>
      <c r="G81" s="175"/>
      <c r="H81" s="176">
        <v>0</v>
      </c>
      <c r="I81" s="185">
        <f t="shared" si="6"/>
        <v>0</v>
      </c>
      <c r="J81" s="174">
        <f t="shared" si="7"/>
        <v>0</v>
      </c>
      <c r="K81" s="174">
        <f t="shared" si="8"/>
        <v>0</v>
      </c>
      <c r="L81" s="174">
        <f t="shared" si="9"/>
        <v>0</v>
      </c>
      <c r="M81" s="174">
        <f t="shared" si="10"/>
        <v>0</v>
      </c>
      <c r="N81" s="174">
        <f t="shared" si="11"/>
        <v>0</v>
      </c>
    </row>
    <row r="82" spans="2:14">
      <c r="B82" s="174">
        <v>80</v>
      </c>
      <c r="C82" s="174" t="s">
        <v>460</v>
      </c>
      <c r="D82" s="174" t="s">
        <v>481</v>
      </c>
      <c r="E82" s="174" t="s">
        <v>482</v>
      </c>
      <c r="F82" s="175">
        <v>46.226194</v>
      </c>
      <c r="G82" s="175">
        <v>6.2395750000000003</v>
      </c>
      <c r="H82" s="181">
        <v>72029</v>
      </c>
      <c r="I82" s="185">
        <f t="shared" si="6"/>
        <v>32413</v>
      </c>
      <c r="J82" s="174">
        <f t="shared" si="7"/>
        <v>1231</v>
      </c>
      <c r="K82" s="174">
        <f t="shared" si="8"/>
        <v>5834</v>
      </c>
      <c r="L82" s="174">
        <f t="shared" si="9"/>
        <v>1458</v>
      </c>
      <c r="M82" s="174">
        <f t="shared" si="10"/>
        <v>1296</v>
      </c>
      <c r="N82" s="174">
        <f t="shared" si="11"/>
        <v>7130</v>
      </c>
    </row>
    <row r="83" spans="2:14">
      <c r="B83" s="174">
        <v>81</v>
      </c>
      <c r="C83" s="174" t="s">
        <v>460</v>
      </c>
      <c r="D83" s="174" t="s">
        <v>481</v>
      </c>
      <c r="E83" s="174" t="s">
        <v>483</v>
      </c>
      <c r="F83" s="175">
        <v>46.460123240000001</v>
      </c>
      <c r="G83" s="175">
        <v>6.4343581299999997</v>
      </c>
      <c r="H83" s="181">
        <v>7269</v>
      </c>
      <c r="I83" s="185">
        <f t="shared" si="6"/>
        <v>3271</v>
      </c>
      <c r="J83" s="174">
        <f t="shared" si="7"/>
        <v>124</v>
      </c>
      <c r="K83" s="174">
        <f t="shared" si="8"/>
        <v>588</v>
      </c>
      <c r="L83" s="174">
        <f t="shared" si="9"/>
        <v>147</v>
      </c>
      <c r="M83" s="174">
        <f t="shared" si="10"/>
        <v>130</v>
      </c>
      <c r="N83" s="174">
        <f t="shared" si="11"/>
        <v>719</v>
      </c>
    </row>
    <row r="84" spans="2:14">
      <c r="B84" s="174">
        <v>82</v>
      </c>
      <c r="C84" s="174" t="s">
        <v>460</v>
      </c>
      <c r="D84" s="174" t="s">
        <v>481</v>
      </c>
      <c r="E84" s="174" t="s">
        <v>484</v>
      </c>
      <c r="F84" s="175">
        <v>46.214239999999997</v>
      </c>
      <c r="G84" s="175">
        <v>6.2589699999999997</v>
      </c>
      <c r="H84" s="181">
        <v>3440</v>
      </c>
      <c r="I84" s="185">
        <f t="shared" si="6"/>
        <v>1548</v>
      </c>
      <c r="J84" s="174">
        <f t="shared" si="7"/>
        <v>58</v>
      </c>
      <c r="K84" s="174">
        <f t="shared" si="8"/>
        <v>278</v>
      </c>
      <c r="L84" s="174">
        <f t="shared" si="9"/>
        <v>69</v>
      </c>
      <c r="M84" s="174">
        <f t="shared" si="10"/>
        <v>61</v>
      </c>
      <c r="N84" s="174">
        <f t="shared" si="11"/>
        <v>340</v>
      </c>
    </row>
    <row r="85" spans="2:14">
      <c r="B85" s="174">
        <v>83</v>
      </c>
      <c r="C85" s="174" t="s">
        <v>460</v>
      </c>
      <c r="D85" s="174" t="s">
        <v>481</v>
      </c>
      <c r="E85" s="174" t="s">
        <v>485</v>
      </c>
      <c r="F85" s="175">
        <v>46.312525000000001</v>
      </c>
      <c r="G85" s="175">
        <v>6.0840569999999996</v>
      </c>
      <c r="H85" s="181">
        <v>9524</v>
      </c>
      <c r="I85" s="185">
        <f t="shared" si="6"/>
        <v>4285</v>
      </c>
      <c r="J85" s="174">
        <f t="shared" si="7"/>
        <v>162</v>
      </c>
      <c r="K85" s="174">
        <f t="shared" si="8"/>
        <v>771</v>
      </c>
      <c r="L85" s="174">
        <f t="shared" si="9"/>
        <v>192</v>
      </c>
      <c r="M85" s="174">
        <f t="shared" si="10"/>
        <v>171</v>
      </c>
      <c r="N85" s="174">
        <f t="shared" si="11"/>
        <v>942</v>
      </c>
    </row>
    <row r="86" spans="2:14">
      <c r="B86" s="174">
        <v>84</v>
      </c>
      <c r="C86" s="174" t="s">
        <v>460</v>
      </c>
      <c r="D86" s="174" t="s">
        <v>486</v>
      </c>
      <c r="E86" s="174" t="s">
        <v>487</v>
      </c>
      <c r="F86" s="175">
        <v>45.756494250000003</v>
      </c>
      <c r="G86" s="175">
        <v>5.7632621200000003</v>
      </c>
      <c r="H86" s="181">
        <v>21000</v>
      </c>
      <c r="I86" s="185">
        <f t="shared" si="6"/>
        <v>9450</v>
      </c>
      <c r="J86" s="174">
        <f t="shared" si="7"/>
        <v>359</v>
      </c>
      <c r="K86" s="174">
        <f t="shared" si="8"/>
        <v>1701</v>
      </c>
      <c r="L86" s="174">
        <f t="shared" si="9"/>
        <v>425</v>
      </c>
      <c r="M86" s="174">
        <f t="shared" si="10"/>
        <v>378</v>
      </c>
      <c r="N86" s="174">
        <f t="shared" si="11"/>
        <v>2079</v>
      </c>
    </row>
    <row r="87" spans="2:14">
      <c r="B87" s="174">
        <v>85</v>
      </c>
      <c r="C87" s="174" t="s">
        <v>460</v>
      </c>
      <c r="D87" s="174" t="s">
        <v>486</v>
      </c>
      <c r="E87" s="174" t="s">
        <v>488</v>
      </c>
      <c r="F87" s="175">
        <v>45.850433000000002</v>
      </c>
      <c r="G87" s="175">
        <v>6.0743609999999997</v>
      </c>
      <c r="H87" s="181">
        <v>7015</v>
      </c>
      <c r="I87" s="185">
        <f t="shared" si="6"/>
        <v>3156</v>
      </c>
      <c r="J87" s="174">
        <f t="shared" si="7"/>
        <v>119</v>
      </c>
      <c r="K87" s="174">
        <f t="shared" si="8"/>
        <v>568</v>
      </c>
      <c r="L87" s="174">
        <f t="shared" si="9"/>
        <v>142</v>
      </c>
      <c r="M87" s="174">
        <f t="shared" si="10"/>
        <v>126</v>
      </c>
      <c r="N87" s="174">
        <f t="shared" si="11"/>
        <v>694</v>
      </c>
    </row>
    <row r="88" spans="2:14">
      <c r="B88" s="174">
        <v>86</v>
      </c>
      <c r="C88" s="174" t="s">
        <v>460</v>
      </c>
      <c r="D88" s="174" t="s">
        <v>486</v>
      </c>
      <c r="E88" s="174" t="s">
        <v>489</v>
      </c>
      <c r="F88" s="175">
        <v>45.691702999999997</v>
      </c>
      <c r="G88" s="175">
        <v>5.9265169999999996</v>
      </c>
      <c r="H88" s="181">
        <v>3108</v>
      </c>
      <c r="I88" s="185">
        <f t="shared" si="6"/>
        <v>1398</v>
      </c>
      <c r="J88" s="174">
        <f t="shared" si="7"/>
        <v>53</v>
      </c>
      <c r="K88" s="174">
        <f t="shared" si="8"/>
        <v>251</v>
      </c>
      <c r="L88" s="174">
        <f t="shared" si="9"/>
        <v>62</v>
      </c>
      <c r="M88" s="174">
        <f t="shared" si="10"/>
        <v>55</v>
      </c>
      <c r="N88" s="174">
        <f t="shared" si="11"/>
        <v>307</v>
      </c>
    </row>
    <row r="89" spans="2:14">
      <c r="B89" s="174">
        <v>87</v>
      </c>
      <c r="C89" s="174" t="s">
        <v>460</v>
      </c>
      <c r="D89" s="174" t="s">
        <v>486</v>
      </c>
      <c r="E89" s="174" t="s">
        <v>490</v>
      </c>
      <c r="F89" s="175">
        <v>45.606113000000001</v>
      </c>
      <c r="G89" s="175">
        <v>5.7973210000000002</v>
      </c>
      <c r="H89" s="181">
        <v>3336</v>
      </c>
      <c r="I89" s="185">
        <f t="shared" si="6"/>
        <v>1501</v>
      </c>
      <c r="J89" s="174">
        <f t="shared" si="7"/>
        <v>57</v>
      </c>
      <c r="K89" s="174">
        <f t="shared" si="8"/>
        <v>270</v>
      </c>
      <c r="L89" s="174">
        <f t="shared" si="9"/>
        <v>67</v>
      </c>
      <c r="M89" s="174">
        <f t="shared" si="10"/>
        <v>60</v>
      </c>
      <c r="N89" s="174">
        <f t="shared" si="11"/>
        <v>330</v>
      </c>
    </row>
    <row r="90" spans="2:14">
      <c r="H90" s="318">
        <f t="shared" ref="H90:N90" si="12">SUM(H3:H89)</f>
        <v>2543494</v>
      </c>
      <c r="I90" s="319">
        <f t="shared" si="12"/>
        <v>1144532</v>
      </c>
      <c r="J90" s="318">
        <f t="shared" si="12"/>
        <v>43451</v>
      </c>
      <c r="K90" s="318">
        <f t="shared" si="12"/>
        <v>205975</v>
      </c>
      <c r="L90" s="318">
        <f t="shared" si="12"/>
        <v>51459</v>
      </c>
      <c r="M90" s="318">
        <f t="shared" si="12"/>
        <v>45738</v>
      </c>
      <c r="N90" s="318">
        <f t="shared" si="12"/>
        <v>251759</v>
      </c>
    </row>
    <row r="91" spans="2:14">
      <c r="J91" s="319"/>
      <c r="K91" s="319"/>
      <c r="L91" s="319"/>
      <c r="M91" s="319"/>
      <c r="N91" s="319"/>
    </row>
    <row r="92" spans="2:14">
      <c r="I92" s="320"/>
      <c r="J92" s="182"/>
      <c r="K92" s="182"/>
      <c r="L92" s="182"/>
      <c r="M92" s="182"/>
      <c r="N92" s="182"/>
    </row>
    <row r="93" spans="2:14">
      <c r="H93" s="182"/>
      <c r="J93" s="182"/>
      <c r="K93" s="182"/>
      <c r="L93" s="182"/>
      <c r="M93" s="182"/>
      <c r="N93" s="182"/>
    </row>
    <row r="97" spans="8:13">
      <c r="L97" s="183"/>
    </row>
    <row r="98" spans="8:13">
      <c r="M98" s="183"/>
    </row>
    <row r="101" spans="8:13">
      <c r="H101" s="184"/>
      <c r="I101" s="182"/>
    </row>
    <row r="102" spans="8:13">
      <c r="H102" s="182"/>
      <c r="I102" s="182"/>
    </row>
    <row r="103" spans="8:13">
      <c r="H103" s="184"/>
      <c r="I103" s="182"/>
    </row>
    <row r="104" spans="8:13">
      <c r="H104" s="182"/>
      <c r="I104" s="182"/>
    </row>
  </sheetData>
  <mergeCells count="2">
    <mergeCell ref="F1:G1"/>
    <mergeCell ref="J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46CF-26AC-4B0E-AA9B-A649175F2782}">
  <dimension ref="A1:O196"/>
  <sheetViews>
    <sheetView topLeftCell="A38" workbookViewId="0">
      <selection activeCell="C48" sqref="C48"/>
    </sheetView>
  </sheetViews>
  <sheetFormatPr defaultRowHeight="12.75" customHeight="1"/>
  <cols>
    <col min="1" max="1" width="49" customWidth="1"/>
    <col min="2" max="2" width="48.85546875" customWidth="1"/>
    <col min="3" max="11" width="20.7109375" customWidth="1"/>
    <col min="12" max="12" width="39.5703125" customWidth="1"/>
    <col min="13" max="13" width="23" customWidth="1"/>
    <col min="15" max="15" width="10.7109375" bestFit="1" customWidth="1"/>
  </cols>
  <sheetData>
    <row r="1" spans="1:12" ht="14.1">
      <c r="A1" s="4" t="s">
        <v>491</v>
      </c>
      <c r="B1" s="5"/>
      <c r="C1" s="6"/>
      <c r="D1" s="6"/>
      <c r="E1" s="6"/>
      <c r="F1" s="6"/>
      <c r="G1" s="6"/>
      <c r="H1" s="6"/>
      <c r="I1" s="6"/>
      <c r="J1" s="6"/>
      <c r="K1" s="6"/>
    </row>
    <row r="2" spans="1:12" ht="14.1">
      <c r="A2" s="4" t="s">
        <v>492</v>
      </c>
      <c r="B2" s="5"/>
      <c r="C2" s="6"/>
      <c r="D2" s="6"/>
      <c r="E2" s="6"/>
      <c r="F2" s="6"/>
      <c r="G2" s="6"/>
      <c r="H2" s="6"/>
      <c r="I2" s="6"/>
      <c r="J2" s="6"/>
      <c r="K2" s="6"/>
    </row>
    <row r="3" spans="1:12" ht="24" customHeight="1">
      <c r="A3" s="429" t="s">
        <v>493</v>
      </c>
      <c r="B3" s="429"/>
      <c r="C3" s="429"/>
      <c r="D3" s="429"/>
      <c r="E3" s="429"/>
      <c r="F3" s="429"/>
      <c r="G3" s="429"/>
      <c r="H3" s="429"/>
      <c r="I3" s="429"/>
      <c r="J3" s="429"/>
      <c r="K3" s="429"/>
      <c r="L3" s="429"/>
    </row>
    <row r="4" spans="1:12" ht="12.95" thickBot="1"/>
    <row r="5" spans="1:12" ht="12.95" thickBot="1">
      <c r="A5" s="7" t="s">
        <v>2</v>
      </c>
      <c r="B5" s="334" t="s">
        <v>4</v>
      </c>
      <c r="C5" s="334"/>
      <c r="D5" s="334"/>
      <c r="E5" s="334"/>
      <c r="F5" s="334"/>
      <c r="G5" s="334"/>
      <c r="H5" s="334"/>
      <c r="I5" s="334"/>
      <c r="J5" s="334"/>
      <c r="K5" s="334"/>
      <c r="L5" s="335"/>
    </row>
    <row r="6" spans="1:12" ht="12.95" thickBot="1">
      <c r="A6" s="8" t="s">
        <v>5</v>
      </c>
      <c r="B6" s="9" t="s">
        <v>494</v>
      </c>
      <c r="C6" s="9" t="s">
        <v>4</v>
      </c>
      <c r="D6" s="10" t="s">
        <v>495</v>
      </c>
      <c r="E6" s="10"/>
      <c r="F6" s="10"/>
      <c r="G6" s="10"/>
      <c r="H6" s="10"/>
      <c r="I6" s="10"/>
      <c r="J6" s="10"/>
      <c r="K6" s="10"/>
      <c r="L6" s="89" t="s">
        <v>496</v>
      </c>
    </row>
    <row r="7" spans="1:12" ht="18.75" customHeight="1" thickBot="1">
      <c r="A7" s="430" t="s">
        <v>497</v>
      </c>
      <c r="B7" s="340" t="s">
        <v>179</v>
      </c>
      <c r="C7" s="11" t="s">
        <v>498</v>
      </c>
      <c r="D7" s="11">
        <v>621</v>
      </c>
      <c r="E7" s="11"/>
      <c r="F7" s="11"/>
      <c r="G7" s="11"/>
      <c r="H7" s="11"/>
      <c r="I7" s="11"/>
      <c r="J7" s="11"/>
      <c r="K7" s="23"/>
      <c r="L7" s="344" t="s">
        <v>499</v>
      </c>
    </row>
    <row r="8" spans="1:12" ht="12.95" thickBot="1">
      <c r="A8" s="348"/>
      <c r="B8" s="341"/>
      <c r="C8" s="11" t="s">
        <v>500</v>
      </c>
      <c r="D8" s="13" t="s">
        <v>4</v>
      </c>
      <c r="E8" s="13"/>
      <c r="F8" s="13"/>
      <c r="G8" s="13"/>
      <c r="H8" s="13"/>
      <c r="I8" s="13"/>
      <c r="J8" s="13"/>
      <c r="K8" s="26"/>
      <c r="L8" s="345"/>
    </row>
    <row r="9" spans="1:12" ht="12.95" thickBot="1">
      <c r="A9" s="348"/>
      <c r="B9" s="341"/>
      <c r="C9" s="14" t="s">
        <v>4</v>
      </c>
      <c r="D9" s="336" t="s">
        <v>501</v>
      </c>
      <c r="E9" s="337"/>
      <c r="F9" s="337"/>
      <c r="G9" s="337"/>
      <c r="H9" s="337"/>
      <c r="I9" s="337"/>
      <c r="J9" s="337"/>
      <c r="K9" s="337"/>
      <c r="L9" s="345"/>
    </row>
    <row r="10" spans="1:12" ht="12.95" thickBot="1">
      <c r="A10" s="348"/>
      <c r="B10" s="342"/>
      <c r="C10" s="16" t="s">
        <v>4</v>
      </c>
      <c r="D10" s="338" t="s">
        <v>502</v>
      </c>
      <c r="E10" s="339"/>
      <c r="F10" s="339"/>
      <c r="G10" s="339"/>
      <c r="H10" s="339"/>
      <c r="I10" s="339"/>
      <c r="J10" s="339"/>
      <c r="K10" s="339"/>
      <c r="L10" s="345"/>
    </row>
    <row r="11" spans="1:12" ht="12.95" thickBot="1">
      <c r="A11" s="348"/>
      <c r="B11" s="48" t="s">
        <v>503</v>
      </c>
      <c r="C11" s="9" t="s">
        <v>4</v>
      </c>
      <c r="D11" s="10" t="s">
        <v>495</v>
      </c>
      <c r="E11" s="10"/>
      <c r="F11" s="10"/>
      <c r="G11" s="10"/>
      <c r="H11" s="10"/>
      <c r="I11" s="10"/>
      <c r="J11" s="10"/>
      <c r="K11" s="88"/>
      <c r="L11" s="345"/>
    </row>
    <row r="12" spans="1:12" ht="22.5" customHeight="1" thickBot="1">
      <c r="A12" s="348"/>
      <c r="B12" s="340" t="s">
        <v>186</v>
      </c>
      <c r="C12" s="11" t="s">
        <v>498</v>
      </c>
      <c r="D12" s="11">
        <v>106</v>
      </c>
      <c r="E12" s="11"/>
      <c r="F12" s="11"/>
      <c r="G12" s="11"/>
      <c r="H12" s="11"/>
      <c r="I12" s="11"/>
      <c r="J12" s="11"/>
      <c r="K12" s="23"/>
      <c r="L12" s="345"/>
    </row>
    <row r="13" spans="1:12" ht="12.95" thickBot="1">
      <c r="A13" s="348"/>
      <c r="B13" s="341"/>
      <c r="C13" s="11" t="s">
        <v>500</v>
      </c>
      <c r="D13" s="13" t="s">
        <v>4</v>
      </c>
      <c r="E13" s="13"/>
      <c r="F13" s="13"/>
      <c r="G13" s="13"/>
      <c r="H13" s="13"/>
      <c r="I13" s="13"/>
      <c r="J13" s="13"/>
      <c r="K13" s="26"/>
      <c r="L13" s="345"/>
    </row>
    <row r="14" spans="1:12" ht="12.95" thickBot="1">
      <c r="A14" s="348"/>
      <c r="B14" s="341"/>
      <c r="C14" s="14" t="s">
        <v>4</v>
      </c>
      <c r="D14" s="336" t="s">
        <v>501</v>
      </c>
      <c r="E14" s="337"/>
      <c r="F14" s="337"/>
      <c r="G14" s="337"/>
      <c r="H14" s="337"/>
      <c r="I14" s="337"/>
      <c r="J14" s="337"/>
      <c r="K14" s="337"/>
      <c r="L14" s="345"/>
    </row>
    <row r="15" spans="1:12" ht="12.95" thickBot="1">
      <c r="A15" s="348"/>
      <c r="B15" s="342"/>
      <c r="C15" s="16" t="s">
        <v>4</v>
      </c>
      <c r="D15" s="338" t="s">
        <v>502</v>
      </c>
      <c r="E15" s="339"/>
      <c r="F15" s="339"/>
      <c r="G15" s="339"/>
      <c r="H15" s="339"/>
      <c r="I15" s="339"/>
      <c r="J15" s="339"/>
      <c r="K15" s="339"/>
      <c r="L15" s="345"/>
    </row>
    <row r="16" spans="1:12" ht="15" customHeight="1" thickBot="1">
      <c r="A16" s="348"/>
      <c r="B16" s="48" t="s">
        <v>504</v>
      </c>
      <c r="C16" s="9" t="s">
        <v>4</v>
      </c>
      <c r="D16" s="10" t="s">
        <v>495</v>
      </c>
      <c r="E16" s="10"/>
      <c r="F16" s="10"/>
      <c r="G16" s="10"/>
      <c r="H16" s="10"/>
      <c r="I16" s="10"/>
      <c r="J16" s="10"/>
      <c r="K16" s="88"/>
      <c r="L16" s="345"/>
    </row>
    <row r="17" spans="1:12" ht="15" customHeight="1" thickBot="1">
      <c r="A17" s="348"/>
      <c r="B17" s="340" t="s">
        <v>192</v>
      </c>
      <c r="C17" s="11" t="s">
        <v>498</v>
      </c>
      <c r="D17" s="11">
        <v>2.6</v>
      </c>
      <c r="E17" s="11"/>
      <c r="F17" s="11"/>
      <c r="G17" s="11"/>
      <c r="H17" s="11"/>
      <c r="I17" s="11"/>
      <c r="J17" s="11"/>
      <c r="K17" s="23"/>
      <c r="L17" s="345"/>
    </row>
    <row r="18" spans="1:12" ht="15" customHeight="1" thickBot="1">
      <c r="A18" s="348"/>
      <c r="B18" s="341"/>
      <c r="C18" s="11" t="s">
        <v>500</v>
      </c>
      <c r="D18" s="13" t="s">
        <v>4</v>
      </c>
      <c r="E18" s="13"/>
      <c r="F18" s="13"/>
      <c r="G18" s="13"/>
      <c r="H18" s="13"/>
      <c r="I18" s="13"/>
      <c r="J18" s="13"/>
      <c r="K18" s="26"/>
      <c r="L18" s="345"/>
    </row>
    <row r="19" spans="1:12" ht="15" customHeight="1" thickBot="1">
      <c r="A19" s="348"/>
      <c r="B19" s="341"/>
      <c r="C19" s="14" t="s">
        <v>4</v>
      </c>
      <c r="D19" s="336" t="s">
        <v>501</v>
      </c>
      <c r="E19" s="337"/>
      <c r="F19" s="337"/>
      <c r="G19" s="337"/>
      <c r="H19" s="337"/>
      <c r="I19" s="337"/>
      <c r="J19" s="337"/>
      <c r="K19" s="337"/>
      <c r="L19" s="345"/>
    </row>
    <row r="20" spans="1:12" ht="15" customHeight="1" thickBot="1">
      <c r="A20" s="349"/>
      <c r="B20" s="342"/>
      <c r="C20" s="16" t="s">
        <v>4</v>
      </c>
      <c r="D20" s="338" t="s">
        <v>502</v>
      </c>
      <c r="E20" s="339"/>
      <c r="F20" s="339"/>
      <c r="G20" s="339"/>
      <c r="H20" s="339"/>
      <c r="I20" s="339"/>
      <c r="J20" s="339"/>
      <c r="K20" s="339"/>
      <c r="L20" s="346"/>
    </row>
    <row r="21" spans="1:12" ht="12.6">
      <c r="A21" s="18"/>
      <c r="B21" s="18"/>
      <c r="C21" s="18"/>
      <c r="D21" s="18"/>
      <c r="E21" s="18"/>
      <c r="F21" s="18"/>
      <c r="G21" s="18"/>
      <c r="H21" s="18"/>
      <c r="I21" s="18"/>
      <c r="J21" s="18"/>
      <c r="K21" s="18"/>
      <c r="L21" s="18"/>
    </row>
    <row r="22" spans="1:12" ht="12.95" thickBot="1">
      <c r="A22" s="18"/>
      <c r="B22" s="18"/>
      <c r="C22" s="18"/>
      <c r="D22" s="18"/>
      <c r="E22" s="18"/>
      <c r="F22" s="18"/>
      <c r="G22" s="18"/>
      <c r="H22" s="18"/>
      <c r="I22" s="18"/>
      <c r="J22" s="18"/>
      <c r="K22" s="18"/>
      <c r="L22" s="18"/>
    </row>
    <row r="23" spans="1:12" s="110" customFormat="1" ht="46.5" thickBot="1">
      <c r="A23" s="134" t="s">
        <v>7</v>
      </c>
      <c r="B23" s="135" t="s">
        <v>505</v>
      </c>
      <c r="C23" s="140" t="s">
        <v>4</v>
      </c>
      <c r="D23" s="141" t="s">
        <v>495</v>
      </c>
      <c r="E23" s="148" t="s">
        <v>506</v>
      </c>
      <c r="F23" s="143" t="s">
        <v>507</v>
      </c>
      <c r="G23" s="143" t="s">
        <v>508</v>
      </c>
      <c r="H23" s="162" t="s">
        <v>509</v>
      </c>
      <c r="I23" s="143" t="s">
        <v>510</v>
      </c>
      <c r="J23" s="141" t="s">
        <v>511</v>
      </c>
      <c r="K23" s="296" t="s">
        <v>512</v>
      </c>
      <c r="L23" s="137" t="s">
        <v>496</v>
      </c>
    </row>
    <row r="24" spans="1:12" ht="29.45" customHeight="1" thickBot="1">
      <c r="A24" s="353" t="s">
        <v>513</v>
      </c>
      <c r="B24" s="350" t="s">
        <v>200</v>
      </c>
      <c r="C24" s="11" t="s">
        <v>498</v>
      </c>
      <c r="D24" s="85">
        <v>1.4999999999999999E-2</v>
      </c>
      <c r="E24" s="138">
        <v>0.02</v>
      </c>
      <c r="F24" s="85">
        <v>1.6E-2</v>
      </c>
      <c r="G24" s="85">
        <v>1.7000000000000001E-2</v>
      </c>
      <c r="H24" s="85">
        <v>1.7000000000000001E-2</v>
      </c>
      <c r="I24" s="85">
        <v>1.7999999999999999E-2</v>
      </c>
      <c r="J24" s="85">
        <v>1.9E-2</v>
      </c>
      <c r="K24" s="297">
        <v>0.02</v>
      </c>
      <c r="L24" s="431" t="s">
        <v>514</v>
      </c>
    </row>
    <row r="25" spans="1:12" ht="12.95" customHeight="1" thickBot="1">
      <c r="A25" s="354"/>
      <c r="B25" s="351"/>
      <c r="C25" s="11" t="s">
        <v>500</v>
      </c>
      <c r="D25" s="152" t="s">
        <v>4</v>
      </c>
      <c r="E25" s="152"/>
      <c r="F25" s="168">
        <v>2.2163923280498925E-2</v>
      </c>
      <c r="G25" s="138"/>
      <c r="H25" s="168">
        <f>7480/'[2]Catchment Population'!N90</f>
        <v>2.9710953729558825E-2</v>
      </c>
      <c r="I25" s="152"/>
      <c r="J25" s="152"/>
      <c r="K25" s="298"/>
      <c r="L25" s="432"/>
    </row>
    <row r="26" spans="1:12" ht="12.95" customHeight="1" thickBot="1">
      <c r="A26" s="354"/>
      <c r="B26" s="351"/>
      <c r="C26" s="14" t="s">
        <v>4</v>
      </c>
      <c r="D26" s="336" t="s">
        <v>501</v>
      </c>
      <c r="E26" s="337"/>
      <c r="F26" s="337"/>
      <c r="G26" s="337"/>
      <c r="H26" s="337"/>
      <c r="I26" s="337"/>
      <c r="J26" s="337"/>
      <c r="K26" s="337"/>
      <c r="L26" s="432"/>
    </row>
    <row r="27" spans="1:12" ht="12.95" thickBot="1">
      <c r="A27" s="354"/>
      <c r="B27" s="352"/>
      <c r="C27" s="16" t="s">
        <v>4</v>
      </c>
      <c r="D27" s="321" t="s">
        <v>184</v>
      </c>
      <c r="E27" s="322"/>
      <c r="F27" s="322"/>
      <c r="G27" s="322"/>
      <c r="H27" s="322"/>
      <c r="I27" s="322"/>
      <c r="J27" s="322"/>
      <c r="K27" s="322"/>
      <c r="L27" s="432"/>
    </row>
    <row r="28" spans="1:12" ht="46.5" thickBot="1">
      <c r="A28" s="354"/>
      <c r="B28" s="7" t="s">
        <v>515</v>
      </c>
      <c r="C28" s="9" t="s">
        <v>4</v>
      </c>
      <c r="D28" s="139" t="s">
        <v>495</v>
      </c>
      <c r="E28" s="136" t="s">
        <v>506</v>
      </c>
      <c r="F28" s="143" t="s">
        <v>507</v>
      </c>
      <c r="G28" s="143" t="s">
        <v>508</v>
      </c>
      <c r="H28" s="162" t="s">
        <v>509</v>
      </c>
      <c r="I28" s="143" t="s">
        <v>510</v>
      </c>
      <c r="J28" s="141" t="s">
        <v>511</v>
      </c>
      <c r="K28" s="240" t="s">
        <v>512</v>
      </c>
      <c r="L28" s="432"/>
    </row>
    <row r="29" spans="1:12" ht="21" customHeight="1" thickBot="1">
      <c r="A29" s="354"/>
      <c r="B29" s="350" t="s">
        <v>516</v>
      </c>
      <c r="C29" s="11" t="s">
        <v>498</v>
      </c>
      <c r="D29" s="82">
        <v>0.28999999999999998</v>
      </c>
      <c r="E29" s="138">
        <v>0.42</v>
      </c>
      <c r="F29" s="82">
        <v>0.3</v>
      </c>
      <c r="G29" s="82">
        <v>0.33</v>
      </c>
      <c r="H29" s="82">
        <v>0.33</v>
      </c>
      <c r="I29" s="82">
        <v>0.36</v>
      </c>
      <c r="J29" s="82">
        <v>0.39</v>
      </c>
      <c r="K29" s="299">
        <v>0.42</v>
      </c>
      <c r="L29" s="432"/>
    </row>
    <row r="30" spans="1:12" ht="12.95" customHeight="1" thickBot="1">
      <c r="A30" s="354"/>
      <c r="B30" s="351"/>
      <c r="C30" s="11" t="s">
        <v>500</v>
      </c>
      <c r="D30" s="152" t="s">
        <v>4</v>
      </c>
      <c r="E30" s="152"/>
      <c r="F30" s="157">
        <v>0.20034695222757115</v>
      </c>
      <c r="G30" s="300"/>
      <c r="H30" s="163">
        <f>20066/'[2]Catchment Population'!L90</f>
        <v>0.38994150683068074</v>
      </c>
      <c r="I30" s="152"/>
      <c r="J30" s="152"/>
      <c r="K30" s="298"/>
      <c r="L30" s="432"/>
    </row>
    <row r="31" spans="1:12" ht="12.95" customHeight="1" thickBot="1">
      <c r="A31" s="354"/>
      <c r="B31" s="351"/>
      <c r="C31" s="14" t="s">
        <v>4</v>
      </c>
      <c r="D31" s="336" t="s">
        <v>501</v>
      </c>
      <c r="E31" s="337"/>
      <c r="F31" s="337"/>
      <c r="G31" s="337"/>
      <c r="H31" s="337"/>
      <c r="I31" s="337"/>
      <c r="J31" s="337"/>
      <c r="K31" s="337"/>
      <c r="L31" s="432"/>
    </row>
    <row r="32" spans="1:12" ht="12.95" thickBot="1">
      <c r="A32" s="354"/>
      <c r="B32" s="352"/>
      <c r="C32" s="16" t="s">
        <v>4</v>
      </c>
      <c r="D32" s="321" t="s">
        <v>184</v>
      </c>
      <c r="E32" s="322"/>
      <c r="F32" s="322"/>
      <c r="G32" s="322"/>
      <c r="H32" s="322"/>
      <c r="I32" s="322"/>
      <c r="J32" s="322"/>
      <c r="K32" s="322"/>
      <c r="L32" s="432"/>
    </row>
    <row r="33" spans="1:12" ht="46.5" thickBot="1">
      <c r="A33" s="354"/>
      <c r="B33" s="7" t="s">
        <v>517</v>
      </c>
      <c r="C33" s="9" t="s">
        <v>4</v>
      </c>
      <c r="D33" s="139" t="s">
        <v>495</v>
      </c>
      <c r="E33" s="136" t="s">
        <v>506</v>
      </c>
      <c r="F33" s="143" t="s">
        <v>507</v>
      </c>
      <c r="G33" s="143" t="s">
        <v>508</v>
      </c>
      <c r="H33" s="162" t="s">
        <v>509</v>
      </c>
      <c r="I33" s="143" t="s">
        <v>510</v>
      </c>
      <c r="J33" s="141" t="s">
        <v>511</v>
      </c>
      <c r="K33" s="240" t="s">
        <v>512</v>
      </c>
      <c r="L33" s="432"/>
    </row>
    <row r="34" spans="1:12" ht="21" customHeight="1" thickBot="1">
      <c r="A34" s="354"/>
      <c r="B34" s="350" t="s">
        <v>213</v>
      </c>
      <c r="C34" s="11" t="s">
        <v>498</v>
      </c>
      <c r="D34" s="82">
        <v>0.47</v>
      </c>
      <c r="E34" s="138">
        <v>0.54500000000000004</v>
      </c>
      <c r="F34" s="82">
        <v>0.48499999999999999</v>
      </c>
      <c r="G34" s="82">
        <v>0.5</v>
      </c>
      <c r="H34" s="82">
        <v>0.5</v>
      </c>
      <c r="I34" s="82">
        <v>0.52</v>
      </c>
      <c r="J34" s="82">
        <v>0.53</v>
      </c>
      <c r="K34" s="299">
        <v>0.55000000000000004</v>
      </c>
      <c r="L34" s="432"/>
    </row>
    <row r="35" spans="1:12" ht="12.95" customHeight="1" thickBot="1">
      <c r="A35" s="354"/>
      <c r="B35" s="351"/>
      <c r="C35" s="11" t="s">
        <v>500</v>
      </c>
      <c r="D35" s="152" t="s">
        <v>4</v>
      </c>
      <c r="E35" s="152"/>
      <c r="F35" s="157">
        <v>0.44597777974359226</v>
      </c>
      <c r="G35" s="138"/>
      <c r="H35" s="192">
        <f>39615/'[2]Catchment Population'!M90</f>
        <v>0.86612882067427521</v>
      </c>
      <c r="I35" s="152"/>
      <c r="J35" s="152"/>
      <c r="K35" s="298"/>
      <c r="L35" s="432"/>
    </row>
    <row r="36" spans="1:12" ht="12.95" customHeight="1" thickBot="1">
      <c r="A36" s="354"/>
      <c r="B36" s="351"/>
      <c r="C36" s="14" t="s">
        <v>4</v>
      </c>
      <c r="D36" s="336" t="s">
        <v>501</v>
      </c>
      <c r="E36" s="337"/>
      <c r="F36" s="337"/>
      <c r="G36" s="337"/>
      <c r="H36" s="337"/>
      <c r="I36" s="337"/>
      <c r="J36" s="337"/>
      <c r="K36" s="337"/>
      <c r="L36" s="432"/>
    </row>
    <row r="37" spans="1:12" ht="12.95" customHeight="1" thickBot="1">
      <c r="A37" s="354"/>
      <c r="B37" s="352"/>
      <c r="C37" s="16" t="s">
        <v>4</v>
      </c>
      <c r="D37" s="321" t="s">
        <v>184</v>
      </c>
      <c r="E37" s="322"/>
      <c r="F37" s="322"/>
      <c r="G37" s="322"/>
      <c r="H37" s="322"/>
      <c r="I37" s="322"/>
      <c r="J37" s="322"/>
      <c r="K37" s="322"/>
      <c r="L37" s="432"/>
    </row>
    <row r="38" spans="1:12" ht="46.5" thickBot="1">
      <c r="A38" s="354"/>
      <c r="B38" s="7" t="s">
        <v>518</v>
      </c>
      <c r="C38" s="9" t="s">
        <v>4</v>
      </c>
      <c r="D38" s="139" t="s">
        <v>495</v>
      </c>
      <c r="E38" s="136" t="s">
        <v>506</v>
      </c>
      <c r="F38" s="143" t="s">
        <v>507</v>
      </c>
      <c r="G38" s="143" t="s">
        <v>508</v>
      </c>
      <c r="H38" s="162" t="s">
        <v>509</v>
      </c>
      <c r="I38" s="143" t="s">
        <v>510</v>
      </c>
      <c r="J38" s="141" t="s">
        <v>511</v>
      </c>
      <c r="K38" s="240" t="s">
        <v>512</v>
      </c>
      <c r="L38" s="432"/>
    </row>
    <row r="39" spans="1:12" ht="23.25" customHeight="1" thickBot="1">
      <c r="A39" s="354"/>
      <c r="B39" s="350" t="s">
        <v>219</v>
      </c>
      <c r="C39" s="11" t="s">
        <v>498</v>
      </c>
      <c r="D39" s="82">
        <f>26668/'[2]Catchment Population'!J90</f>
        <v>0.61374882051046009</v>
      </c>
      <c r="E39" s="138">
        <v>0.86</v>
      </c>
      <c r="F39" s="82">
        <v>0.66</v>
      </c>
      <c r="G39" s="82">
        <v>0.71</v>
      </c>
      <c r="H39" s="82">
        <v>0.71</v>
      </c>
      <c r="I39" s="82">
        <v>0.76</v>
      </c>
      <c r="J39" s="82">
        <v>0.81</v>
      </c>
      <c r="K39" s="299">
        <v>0.86</v>
      </c>
      <c r="L39" s="432"/>
    </row>
    <row r="40" spans="1:12" ht="15" customHeight="1" thickBot="1">
      <c r="A40" s="354"/>
      <c r="B40" s="351"/>
      <c r="C40" s="11" t="s">
        <v>500</v>
      </c>
      <c r="D40" s="152" t="s">
        <v>4</v>
      </c>
      <c r="E40" s="152"/>
      <c r="F40" s="157">
        <f>27036/'[2]Catchment Population'!J90</f>
        <v>0.62221813076799148</v>
      </c>
      <c r="G40" s="138"/>
      <c r="H40" s="157">
        <f>54533/'[2]Catchment Population'!J90</f>
        <v>1.2550459137879451</v>
      </c>
      <c r="I40" s="152"/>
      <c r="J40" s="152"/>
      <c r="K40" s="298"/>
      <c r="L40" s="432"/>
    </row>
    <row r="41" spans="1:12" ht="15" customHeight="1" thickBot="1">
      <c r="A41" s="354"/>
      <c r="B41" s="351"/>
      <c r="C41" s="14" t="s">
        <v>4</v>
      </c>
      <c r="D41" s="336" t="s">
        <v>501</v>
      </c>
      <c r="E41" s="337"/>
      <c r="F41" s="337"/>
      <c r="G41" s="337"/>
      <c r="H41" s="337"/>
      <c r="I41" s="337"/>
      <c r="J41" s="337"/>
      <c r="K41" s="337"/>
      <c r="L41" s="432"/>
    </row>
    <row r="42" spans="1:12" ht="15" customHeight="1" thickBot="1">
      <c r="A42" s="354"/>
      <c r="B42" s="352"/>
      <c r="C42" s="16" t="s">
        <v>4</v>
      </c>
      <c r="D42" s="321" t="s">
        <v>184</v>
      </c>
      <c r="E42" s="322"/>
      <c r="F42" s="322"/>
      <c r="G42" s="322"/>
      <c r="H42" s="322"/>
      <c r="I42" s="322"/>
      <c r="J42" s="322"/>
      <c r="K42" s="322"/>
      <c r="L42" s="432"/>
    </row>
    <row r="43" spans="1:12" ht="46.5" thickBot="1">
      <c r="A43" s="354"/>
      <c r="B43" s="7" t="s">
        <v>519</v>
      </c>
      <c r="C43" s="9" t="s">
        <v>4</v>
      </c>
      <c r="D43" s="139" t="s">
        <v>495</v>
      </c>
      <c r="E43" s="136" t="s">
        <v>506</v>
      </c>
      <c r="F43" s="143" t="s">
        <v>507</v>
      </c>
      <c r="G43" s="143" t="s">
        <v>508</v>
      </c>
      <c r="H43" s="162" t="s">
        <v>509</v>
      </c>
      <c r="I43" s="143" t="s">
        <v>510</v>
      </c>
      <c r="J43" s="141" t="s">
        <v>511</v>
      </c>
      <c r="K43" s="240" t="s">
        <v>512</v>
      </c>
      <c r="L43" s="432"/>
    </row>
    <row r="44" spans="1:12" ht="23.25" customHeight="1" thickBot="1">
      <c r="A44" s="354"/>
      <c r="B44" s="350" t="s">
        <v>224</v>
      </c>
      <c r="C44" s="11" t="s">
        <v>498</v>
      </c>
      <c r="D44" s="82">
        <v>0.9</v>
      </c>
      <c r="E44" s="138">
        <v>0.95</v>
      </c>
      <c r="F44" s="82">
        <v>0.92</v>
      </c>
      <c r="G44" s="82">
        <v>0.95</v>
      </c>
      <c r="H44" s="82">
        <v>0.95</v>
      </c>
      <c r="I44" s="82">
        <v>0.95</v>
      </c>
      <c r="J44" s="82">
        <v>0.95</v>
      </c>
      <c r="K44" s="299">
        <v>0.95</v>
      </c>
      <c r="L44" s="432"/>
    </row>
    <row r="45" spans="1:12" ht="15" customHeight="1" thickBot="1">
      <c r="A45" s="354"/>
      <c r="B45" s="351"/>
      <c r="C45" s="11" t="s">
        <v>500</v>
      </c>
      <c r="D45" s="152" t="s">
        <v>4</v>
      </c>
      <c r="E45" s="152"/>
      <c r="F45" s="157">
        <v>0.96399999999999997</v>
      </c>
      <c r="G45" s="157">
        <v>0.96</v>
      </c>
      <c r="H45" s="138">
        <v>0.96</v>
      </c>
      <c r="I45" s="152"/>
      <c r="J45" s="152"/>
      <c r="K45" s="298"/>
      <c r="L45" s="432"/>
    </row>
    <row r="46" spans="1:12" ht="15" customHeight="1" thickBot="1">
      <c r="A46" s="354"/>
      <c r="B46" s="351"/>
      <c r="C46" s="14" t="s">
        <v>4</v>
      </c>
      <c r="D46" s="336" t="s">
        <v>501</v>
      </c>
      <c r="E46" s="337"/>
      <c r="F46" s="337"/>
      <c r="G46" s="337"/>
      <c r="H46" s="337"/>
      <c r="I46" s="337"/>
      <c r="J46" s="337"/>
      <c r="K46" s="337"/>
      <c r="L46" s="432"/>
    </row>
    <row r="47" spans="1:12" ht="15" customHeight="1" thickBot="1">
      <c r="A47" s="354"/>
      <c r="B47" s="352"/>
      <c r="C47" s="16" t="s">
        <v>4</v>
      </c>
      <c r="D47" s="321" t="s">
        <v>197</v>
      </c>
      <c r="E47" s="322"/>
      <c r="F47" s="322"/>
      <c r="G47" s="322"/>
      <c r="H47" s="322"/>
      <c r="I47" s="322"/>
      <c r="J47" s="322"/>
      <c r="K47" s="322"/>
      <c r="L47" s="432"/>
    </row>
    <row r="48" spans="1:12" ht="46.5" thickBot="1">
      <c r="A48" s="354"/>
      <c r="B48" s="7" t="s">
        <v>520</v>
      </c>
      <c r="C48" s="9" t="s">
        <v>4</v>
      </c>
      <c r="D48" s="139" t="s">
        <v>495</v>
      </c>
      <c r="E48" s="136" t="s">
        <v>506</v>
      </c>
      <c r="F48" s="143" t="s">
        <v>507</v>
      </c>
      <c r="G48" s="143" t="s">
        <v>508</v>
      </c>
      <c r="H48" s="162" t="s">
        <v>509</v>
      </c>
      <c r="I48" s="143" t="s">
        <v>510</v>
      </c>
      <c r="J48" s="141" t="s">
        <v>511</v>
      </c>
      <c r="K48" s="240" t="s">
        <v>512</v>
      </c>
      <c r="L48" s="432"/>
    </row>
    <row r="49" spans="1:12" ht="18.75" customHeight="1" thickBot="1">
      <c r="A49" s="354"/>
      <c r="B49" s="368" t="s">
        <v>521</v>
      </c>
      <c r="C49" s="11" t="s">
        <v>498</v>
      </c>
      <c r="D49" s="154">
        <f>247777/'[3]Catchment Population'!$J$93</f>
        <v>0.21648004668994175</v>
      </c>
      <c r="E49" s="155">
        <v>0.32</v>
      </c>
      <c r="F49" s="154">
        <v>0.24</v>
      </c>
      <c r="G49" s="154">
        <v>0.26</v>
      </c>
      <c r="H49" s="154">
        <v>0.26</v>
      </c>
      <c r="I49" s="154">
        <v>0.28000000000000003</v>
      </c>
      <c r="J49" s="154">
        <v>0.3</v>
      </c>
      <c r="K49" s="154">
        <v>0.32</v>
      </c>
      <c r="L49" s="432"/>
    </row>
    <row r="50" spans="1:12" ht="15" customHeight="1" thickBot="1">
      <c r="A50" s="354"/>
      <c r="B50" s="369"/>
      <c r="C50" s="11" t="s">
        <v>500</v>
      </c>
      <c r="D50" s="152" t="s">
        <v>4</v>
      </c>
      <c r="E50" s="152"/>
      <c r="F50" s="159" t="s">
        <v>522</v>
      </c>
      <c r="G50" s="301"/>
      <c r="H50" s="159">
        <f>520971/'[2]Catchment Population'!I90</f>
        <v>0.45518255496569776</v>
      </c>
      <c r="I50" s="152"/>
      <c r="J50" s="152"/>
      <c r="K50" s="298"/>
      <c r="L50" s="432"/>
    </row>
    <row r="51" spans="1:12" ht="15" customHeight="1" thickBot="1">
      <c r="A51" s="354"/>
      <c r="B51" s="369"/>
      <c r="C51" s="14" t="s">
        <v>4</v>
      </c>
      <c r="D51" s="336" t="s">
        <v>501</v>
      </c>
      <c r="E51" s="337"/>
      <c r="F51" s="337"/>
      <c r="G51" s="337"/>
      <c r="H51" s="337"/>
      <c r="I51" s="337"/>
      <c r="J51" s="337"/>
      <c r="K51" s="337"/>
      <c r="L51" s="432"/>
    </row>
    <row r="52" spans="1:12" ht="15" customHeight="1" thickBot="1">
      <c r="A52" s="355"/>
      <c r="B52" s="370"/>
      <c r="C52" s="16" t="s">
        <v>4</v>
      </c>
      <c r="D52" s="321" t="s">
        <v>184</v>
      </c>
      <c r="E52" s="322"/>
      <c r="F52" s="322"/>
      <c r="G52" s="322"/>
      <c r="H52" s="322"/>
      <c r="I52" s="322"/>
      <c r="J52" s="322"/>
      <c r="K52" s="322"/>
      <c r="L52" s="433"/>
    </row>
    <row r="53" spans="1:12" ht="46.5" thickBot="1">
      <c r="A53" s="19" t="s">
        <v>7</v>
      </c>
      <c r="B53" s="20" t="s">
        <v>505</v>
      </c>
      <c r="C53" s="20" t="s">
        <v>4</v>
      </c>
      <c r="D53" s="139" t="s">
        <v>495</v>
      </c>
      <c r="E53" s="136" t="s">
        <v>506</v>
      </c>
      <c r="F53" s="143" t="s">
        <v>507</v>
      </c>
      <c r="G53" s="143" t="s">
        <v>508</v>
      </c>
      <c r="H53" s="162" t="s">
        <v>509</v>
      </c>
      <c r="I53" s="143" t="s">
        <v>510</v>
      </c>
      <c r="J53" s="141" t="s">
        <v>511</v>
      </c>
      <c r="K53" s="296" t="s">
        <v>512</v>
      </c>
      <c r="L53" s="84" t="s">
        <v>496</v>
      </c>
    </row>
    <row r="54" spans="1:12" ht="21.75" customHeight="1" thickBot="1">
      <c r="A54" s="384" t="s">
        <v>523</v>
      </c>
      <c r="B54" s="368" t="s">
        <v>524</v>
      </c>
      <c r="C54" s="11" t="s">
        <v>498</v>
      </c>
      <c r="D54" s="166">
        <v>0</v>
      </c>
      <c r="E54" s="166">
        <v>1144575</v>
      </c>
      <c r="F54" s="166">
        <v>228915</v>
      </c>
      <c r="G54" s="166">
        <v>457830</v>
      </c>
      <c r="H54" s="166"/>
      <c r="I54" s="166">
        <v>686745</v>
      </c>
      <c r="J54" s="166">
        <v>915660</v>
      </c>
      <c r="K54" s="166">
        <v>1144575</v>
      </c>
      <c r="L54" s="323" t="s">
        <v>525</v>
      </c>
    </row>
    <row r="55" spans="1:12" ht="17.25" customHeight="1" thickBot="1">
      <c r="A55" s="385"/>
      <c r="B55" s="369"/>
      <c r="C55" s="11" t="s">
        <v>500</v>
      </c>
      <c r="D55" s="152" t="s">
        <v>4</v>
      </c>
      <c r="E55" s="152"/>
      <c r="F55" s="164">
        <v>272966</v>
      </c>
      <c r="G55" s="302"/>
      <c r="H55" s="244" t="s">
        <v>526</v>
      </c>
      <c r="I55" s="152"/>
      <c r="J55" s="152"/>
      <c r="K55" s="298"/>
      <c r="L55" s="324"/>
    </row>
    <row r="56" spans="1:12" ht="12.95" customHeight="1" thickBot="1">
      <c r="A56" s="385"/>
      <c r="B56" s="369"/>
      <c r="C56" s="14" t="s">
        <v>4</v>
      </c>
      <c r="D56" s="336" t="s">
        <v>501</v>
      </c>
      <c r="E56" s="337"/>
      <c r="F56" s="337"/>
      <c r="G56" s="337"/>
      <c r="H56" s="337"/>
      <c r="I56" s="337"/>
      <c r="J56" s="337"/>
      <c r="K56" s="337"/>
      <c r="L56" s="324"/>
    </row>
    <row r="57" spans="1:12" ht="20.45" customHeight="1" thickBot="1">
      <c r="A57" s="386"/>
      <c r="B57" s="370"/>
      <c r="C57" s="16" t="s">
        <v>4</v>
      </c>
      <c r="D57" s="321" t="s">
        <v>236</v>
      </c>
      <c r="E57" s="322"/>
      <c r="F57" s="322"/>
      <c r="G57" s="322"/>
      <c r="H57" s="322"/>
      <c r="I57" s="322"/>
      <c r="J57" s="322"/>
      <c r="K57" s="322"/>
      <c r="L57" s="402"/>
    </row>
    <row r="58" spans="1:12" ht="12.6" customHeight="1" thickBot="1">
      <c r="A58" s="356" t="s">
        <v>527</v>
      </c>
      <c r="B58" s="22" t="s">
        <v>528</v>
      </c>
      <c r="C58" s="22" t="s">
        <v>4</v>
      </c>
      <c r="D58" s="22" t="s">
        <v>529</v>
      </c>
      <c r="E58" s="22"/>
      <c r="F58" s="22"/>
      <c r="G58" s="22"/>
      <c r="H58" s="22"/>
      <c r="I58" s="22"/>
      <c r="J58" s="22"/>
      <c r="K58" s="22"/>
      <c r="L58" s="146"/>
    </row>
    <row r="59" spans="1:12" ht="12.95" thickBot="1">
      <c r="A59" s="357"/>
      <c r="B59" s="11" t="s">
        <v>4</v>
      </c>
      <c r="C59" s="11" t="s">
        <v>4</v>
      </c>
      <c r="D59" s="11" t="s">
        <v>4</v>
      </c>
      <c r="E59" s="11"/>
      <c r="F59" s="11"/>
      <c r="G59" s="11"/>
      <c r="H59" s="11"/>
      <c r="I59" s="11"/>
      <c r="J59" s="11"/>
      <c r="K59" s="11"/>
      <c r="L59" s="144"/>
    </row>
    <row r="60" spans="1:12" ht="12.95" thickBot="1">
      <c r="A60" s="383" t="s">
        <v>530</v>
      </c>
      <c r="B60" s="22" t="s">
        <v>531</v>
      </c>
      <c r="C60" s="22" t="s">
        <v>4</v>
      </c>
      <c r="D60" s="358" t="s">
        <v>4</v>
      </c>
      <c r="E60" s="359"/>
      <c r="F60" s="359"/>
      <c r="G60" s="359"/>
      <c r="H60" s="359"/>
      <c r="I60" s="359"/>
      <c r="J60" s="359"/>
      <c r="K60" s="359"/>
      <c r="L60" s="360"/>
    </row>
    <row r="61" spans="1:12" ht="12.95" thickBot="1">
      <c r="A61" s="357"/>
      <c r="B61" s="11" t="s">
        <v>4</v>
      </c>
      <c r="C61" s="23" t="s">
        <v>4</v>
      </c>
      <c r="D61" s="361"/>
      <c r="E61" s="362"/>
      <c r="F61" s="362"/>
      <c r="G61" s="362"/>
      <c r="H61" s="362"/>
      <c r="I61" s="362"/>
      <c r="J61" s="362"/>
      <c r="K61" s="362"/>
      <c r="L61" s="363"/>
    </row>
    <row r="62" spans="1:12" ht="12.95" thickBot="1">
      <c r="A62" s="18"/>
      <c r="B62" s="18"/>
      <c r="C62" s="18"/>
      <c r="D62" s="18"/>
      <c r="E62" s="18"/>
      <c r="F62" s="18"/>
      <c r="G62" s="18"/>
      <c r="H62" s="18"/>
      <c r="I62" s="18"/>
      <c r="J62" s="18"/>
      <c r="K62" s="18"/>
      <c r="L62" s="18"/>
    </row>
    <row r="63" spans="1:12" ht="46.5" thickBot="1">
      <c r="A63" s="19" t="s">
        <v>532</v>
      </c>
      <c r="B63" s="20" t="s">
        <v>533</v>
      </c>
      <c r="C63" s="133" t="s">
        <v>4</v>
      </c>
      <c r="D63" s="141" t="s">
        <v>495</v>
      </c>
      <c r="E63" s="136" t="s">
        <v>506</v>
      </c>
      <c r="F63" s="143" t="s">
        <v>507</v>
      </c>
      <c r="G63" s="143" t="s">
        <v>508</v>
      </c>
      <c r="H63" s="162" t="s">
        <v>509</v>
      </c>
      <c r="I63" s="143" t="s">
        <v>510</v>
      </c>
      <c r="J63" s="141" t="s">
        <v>511</v>
      </c>
      <c r="K63" s="296" t="s">
        <v>512</v>
      </c>
      <c r="L63" s="89" t="s">
        <v>496</v>
      </c>
    </row>
    <row r="64" spans="1:12" ht="20.25" customHeight="1" thickBot="1">
      <c r="A64" s="364" t="s">
        <v>534</v>
      </c>
      <c r="B64" s="350" t="s">
        <v>535</v>
      </c>
      <c r="C64" s="11" t="s">
        <v>498</v>
      </c>
      <c r="D64" s="11">
        <v>24</v>
      </c>
      <c r="E64" s="149">
        <v>74</v>
      </c>
      <c r="F64" s="11">
        <v>34</v>
      </c>
      <c r="G64" s="11">
        <v>44</v>
      </c>
      <c r="H64" s="11">
        <v>44</v>
      </c>
      <c r="I64" s="11">
        <v>54</v>
      </c>
      <c r="J64" s="11">
        <v>64</v>
      </c>
      <c r="K64" s="23">
        <v>74</v>
      </c>
      <c r="L64" s="325" t="s">
        <v>514</v>
      </c>
    </row>
    <row r="65" spans="1:12" ht="12.95" customHeight="1" thickBot="1">
      <c r="A65" s="365"/>
      <c r="B65" s="351"/>
      <c r="C65" s="11" t="s">
        <v>500</v>
      </c>
      <c r="D65" s="152" t="s">
        <v>4</v>
      </c>
      <c r="E65" s="152"/>
      <c r="F65" s="156">
        <v>25</v>
      </c>
      <c r="G65" s="156">
        <v>36</v>
      </c>
      <c r="H65" s="156">
        <v>61</v>
      </c>
      <c r="I65" s="152"/>
      <c r="J65" s="152"/>
      <c r="K65" s="298"/>
      <c r="L65" s="326"/>
    </row>
    <row r="66" spans="1:12" ht="12.95" customHeight="1" thickBot="1">
      <c r="A66" s="365"/>
      <c r="B66" s="352"/>
      <c r="C66" s="14" t="s">
        <v>4</v>
      </c>
      <c r="D66" s="126" t="s">
        <v>501</v>
      </c>
      <c r="E66" s="127"/>
      <c r="F66" s="127"/>
      <c r="G66" s="127"/>
      <c r="H66" s="127"/>
      <c r="I66" s="127"/>
      <c r="J66" s="127"/>
      <c r="K66" s="127"/>
      <c r="L66" s="326"/>
    </row>
    <row r="67" spans="1:12" ht="12.95" customHeight="1" thickBot="1">
      <c r="A67" s="365"/>
      <c r="B67" s="130"/>
      <c r="C67" s="14"/>
      <c r="D67" s="124" t="s">
        <v>184</v>
      </c>
      <c r="E67" s="125"/>
      <c r="F67" s="125"/>
      <c r="G67" s="125"/>
      <c r="H67" s="125"/>
      <c r="I67" s="125"/>
      <c r="J67" s="125"/>
      <c r="K67" s="125"/>
      <c r="L67" s="327"/>
    </row>
    <row r="68" spans="1:12" ht="46.5" thickBot="1">
      <c r="A68" s="365"/>
      <c r="B68" s="9" t="s">
        <v>536</v>
      </c>
      <c r="C68" s="16" t="s">
        <v>4</v>
      </c>
      <c r="D68" s="139" t="s">
        <v>495</v>
      </c>
      <c r="E68" s="136" t="s">
        <v>506</v>
      </c>
      <c r="F68" s="143" t="s">
        <v>507</v>
      </c>
      <c r="G68" s="143" t="s">
        <v>508</v>
      </c>
      <c r="H68" s="162" t="s">
        <v>509</v>
      </c>
      <c r="I68" s="143" t="s">
        <v>510</v>
      </c>
      <c r="J68" s="141" t="s">
        <v>511</v>
      </c>
      <c r="K68" s="296" t="s">
        <v>512</v>
      </c>
      <c r="L68" s="84" t="s">
        <v>496</v>
      </c>
    </row>
    <row r="69" spans="1:12" ht="12.95" customHeight="1" thickBot="1">
      <c r="A69" s="365"/>
      <c r="B69" s="350" t="s">
        <v>537</v>
      </c>
      <c r="C69" s="25" t="s">
        <v>498</v>
      </c>
      <c r="D69" s="166">
        <v>14938</v>
      </c>
      <c r="E69" s="165">
        <v>76930</v>
      </c>
      <c r="F69" s="166">
        <v>15386</v>
      </c>
      <c r="G69" s="166">
        <v>31233</v>
      </c>
      <c r="H69" s="166">
        <v>31233</v>
      </c>
      <c r="I69" s="166">
        <v>46158</v>
      </c>
      <c r="J69" s="166">
        <v>61544</v>
      </c>
      <c r="K69" s="250">
        <v>76930</v>
      </c>
      <c r="L69" s="325" t="s">
        <v>538</v>
      </c>
    </row>
    <row r="70" spans="1:12" ht="12.95" customHeight="1" thickBot="1">
      <c r="A70" s="365"/>
      <c r="B70" s="351"/>
      <c r="C70" s="24" t="s">
        <v>500</v>
      </c>
      <c r="D70" s="152" t="s">
        <v>4</v>
      </c>
      <c r="E70" s="152"/>
      <c r="F70" s="160">
        <v>9308</v>
      </c>
      <c r="G70" s="160">
        <f>7112+1137</f>
        <v>8249</v>
      </c>
      <c r="H70" s="160">
        <f>F70+G70</f>
        <v>17557</v>
      </c>
      <c r="I70" s="152"/>
      <c r="J70" s="152"/>
      <c r="K70" s="298"/>
      <c r="L70" s="326"/>
    </row>
    <row r="71" spans="1:12" ht="12.95" customHeight="1" thickBot="1">
      <c r="A71" s="365"/>
      <c r="B71" s="351"/>
      <c r="C71" s="14" t="s">
        <v>4</v>
      </c>
      <c r="D71" s="126" t="s">
        <v>501</v>
      </c>
      <c r="E71" s="127"/>
      <c r="F71" s="127"/>
      <c r="G71" s="127"/>
      <c r="H71" s="127"/>
      <c r="I71" s="127"/>
      <c r="J71" s="127"/>
      <c r="K71" s="127"/>
      <c r="L71" s="326"/>
    </row>
    <row r="72" spans="1:12" ht="12.95" customHeight="1" thickBot="1">
      <c r="A72" s="365"/>
      <c r="B72" s="352"/>
      <c r="C72" s="16" t="s">
        <v>4</v>
      </c>
      <c r="D72" s="124" t="s">
        <v>184</v>
      </c>
      <c r="E72" s="125"/>
      <c r="F72" s="125"/>
      <c r="G72" s="125"/>
      <c r="H72" s="125"/>
      <c r="I72" s="125"/>
      <c r="J72" s="125"/>
      <c r="K72" s="125"/>
      <c r="L72" s="327"/>
    </row>
    <row r="73" spans="1:12" ht="46.5" thickBot="1">
      <c r="A73" s="365"/>
      <c r="B73" s="9" t="s">
        <v>539</v>
      </c>
      <c r="C73" s="9" t="s">
        <v>4</v>
      </c>
      <c r="D73" s="139" t="s">
        <v>495</v>
      </c>
      <c r="E73" s="136" t="s">
        <v>506</v>
      </c>
      <c r="F73" s="143" t="s">
        <v>507</v>
      </c>
      <c r="G73" s="143" t="s">
        <v>508</v>
      </c>
      <c r="H73" s="162" t="s">
        <v>509</v>
      </c>
      <c r="I73" s="143" t="s">
        <v>510</v>
      </c>
      <c r="J73" s="141" t="s">
        <v>511</v>
      </c>
      <c r="K73" s="296" t="s">
        <v>512</v>
      </c>
      <c r="L73" s="303" t="s">
        <v>496</v>
      </c>
    </row>
    <row r="74" spans="1:12" ht="19.5" customHeight="1" thickBot="1">
      <c r="A74" s="365"/>
      <c r="B74" s="350" t="s">
        <v>540</v>
      </c>
      <c r="C74" s="25" t="s">
        <v>498</v>
      </c>
      <c r="D74" s="166">
        <v>28240</v>
      </c>
      <c r="E74" s="165">
        <v>30423</v>
      </c>
      <c r="F74" s="166">
        <v>28664</v>
      </c>
      <c r="G74" s="166">
        <v>29094</v>
      </c>
      <c r="H74" s="166">
        <v>29094</v>
      </c>
      <c r="I74" s="166">
        <v>29530</v>
      </c>
      <c r="J74" s="166">
        <v>29973</v>
      </c>
      <c r="K74" s="250">
        <v>30423</v>
      </c>
      <c r="L74" s="325" t="s">
        <v>538</v>
      </c>
    </row>
    <row r="75" spans="1:12" ht="12.95" customHeight="1" thickBot="1">
      <c r="A75" s="365"/>
      <c r="B75" s="351"/>
      <c r="C75" s="24" t="s">
        <v>500</v>
      </c>
      <c r="D75" s="152" t="s">
        <v>4</v>
      </c>
      <c r="E75" s="152"/>
      <c r="F75" s="164">
        <v>19826</v>
      </c>
      <c r="G75" s="164">
        <f>16730+3059</f>
        <v>19789</v>
      </c>
      <c r="H75" s="164">
        <f>SUM(F75:G75)</f>
        <v>39615</v>
      </c>
      <c r="I75" s="152"/>
      <c r="J75" s="152"/>
      <c r="K75" s="298"/>
      <c r="L75" s="326"/>
    </row>
    <row r="76" spans="1:12" ht="12.95" customHeight="1" thickBot="1">
      <c r="A76" s="365"/>
      <c r="B76" s="351"/>
      <c r="C76" s="14" t="s">
        <v>4</v>
      </c>
      <c r="D76" s="126" t="s">
        <v>501</v>
      </c>
      <c r="E76" s="127"/>
      <c r="F76" s="127"/>
      <c r="G76" s="127"/>
      <c r="H76" s="127"/>
      <c r="I76" s="127"/>
      <c r="J76" s="127"/>
      <c r="K76" s="127"/>
      <c r="L76" s="326"/>
    </row>
    <row r="77" spans="1:12" ht="12.95" customHeight="1" thickBot="1">
      <c r="A77" s="365"/>
      <c r="B77" s="352"/>
      <c r="C77" s="16" t="s">
        <v>4</v>
      </c>
      <c r="D77" s="124" t="s">
        <v>184</v>
      </c>
      <c r="E77" s="125"/>
      <c r="F77" s="125"/>
      <c r="G77" s="125"/>
      <c r="H77" s="125"/>
      <c r="I77" s="125"/>
      <c r="J77" s="125"/>
      <c r="K77" s="125"/>
      <c r="L77" s="327"/>
    </row>
    <row r="78" spans="1:12" ht="46.5" thickBot="1">
      <c r="A78" s="365"/>
      <c r="B78" s="9" t="s">
        <v>541</v>
      </c>
      <c r="C78" s="9" t="s">
        <v>4</v>
      </c>
      <c r="D78" s="139" t="s">
        <v>495</v>
      </c>
      <c r="E78" s="136" t="s">
        <v>506</v>
      </c>
      <c r="F78" s="143" t="s">
        <v>507</v>
      </c>
      <c r="G78" s="143" t="s">
        <v>508</v>
      </c>
      <c r="H78" s="162" t="s">
        <v>509</v>
      </c>
      <c r="I78" s="143" t="s">
        <v>510</v>
      </c>
      <c r="J78" s="141" t="s">
        <v>511</v>
      </c>
      <c r="K78" s="296" t="s">
        <v>512</v>
      </c>
      <c r="L78" s="84" t="s">
        <v>496</v>
      </c>
    </row>
    <row r="79" spans="1:12" ht="19.5" customHeight="1" thickBot="1">
      <c r="A79" s="365"/>
      <c r="B79" s="350" t="s">
        <v>244</v>
      </c>
      <c r="C79" s="25" t="s">
        <v>498</v>
      </c>
      <c r="D79" s="166">
        <v>13721</v>
      </c>
      <c r="E79" s="165">
        <v>14781</v>
      </c>
      <c r="F79" s="166">
        <v>13927</v>
      </c>
      <c r="G79" s="166">
        <v>14136</v>
      </c>
      <c r="H79" s="166">
        <v>14136</v>
      </c>
      <c r="I79" s="166">
        <v>14348</v>
      </c>
      <c r="J79" s="166">
        <v>14563</v>
      </c>
      <c r="K79" s="250">
        <v>14781</v>
      </c>
      <c r="L79" s="323" t="s">
        <v>538</v>
      </c>
    </row>
    <row r="80" spans="1:12" ht="12.95" customHeight="1" thickBot="1">
      <c r="A80" s="365"/>
      <c r="B80" s="351"/>
      <c r="C80" s="24" t="s">
        <v>500</v>
      </c>
      <c r="D80" s="152" t="s">
        <v>4</v>
      </c>
      <c r="E80" s="152"/>
      <c r="F80" s="164">
        <v>13035</v>
      </c>
      <c r="G80" s="164">
        <f>10578+1990</f>
        <v>12568</v>
      </c>
      <c r="H80" s="164">
        <f>SUM(F80:G80)</f>
        <v>25603</v>
      </c>
      <c r="I80" s="152"/>
      <c r="J80" s="152"/>
      <c r="K80" s="298"/>
      <c r="L80" s="324"/>
    </row>
    <row r="81" spans="1:12" ht="12.95" customHeight="1" thickBot="1">
      <c r="A81" s="365"/>
      <c r="B81" s="352"/>
      <c r="C81" s="14" t="s">
        <v>4</v>
      </c>
      <c r="D81" s="126" t="s">
        <v>501</v>
      </c>
      <c r="E81" s="127"/>
      <c r="F81" s="127"/>
      <c r="G81" s="127"/>
      <c r="H81" s="127"/>
      <c r="I81" s="127"/>
      <c r="J81" s="127"/>
      <c r="K81" s="127"/>
      <c r="L81" s="324"/>
    </row>
    <row r="82" spans="1:12" ht="12.95" customHeight="1" thickBot="1">
      <c r="A82" s="365"/>
      <c r="B82" s="81"/>
      <c r="C82" s="16" t="s">
        <v>4</v>
      </c>
      <c r="D82" s="124" t="s">
        <v>184</v>
      </c>
      <c r="E82" s="125"/>
      <c r="F82" s="125"/>
      <c r="G82" s="125"/>
      <c r="H82" s="125"/>
      <c r="I82" s="125"/>
      <c r="J82" s="125"/>
      <c r="K82" s="125"/>
      <c r="L82" s="402"/>
    </row>
    <row r="83" spans="1:12" ht="46.5" thickBot="1">
      <c r="A83" s="365"/>
      <c r="B83" s="7" t="s">
        <v>542</v>
      </c>
      <c r="C83" s="9" t="s">
        <v>4</v>
      </c>
      <c r="D83" s="139" t="s">
        <v>495</v>
      </c>
      <c r="E83" s="136" t="s">
        <v>506</v>
      </c>
      <c r="F83" s="143" t="s">
        <v>507</v>
      </c>
      <c r="G83" s="143" t="s">
        <v>508</v>
      </c>
      <c r="H83" s="162" t="s">
        <v>509</v>
      </c>
      <c r="I83" s="143" t="s">
        <v>510</v>
      </c>
      <c r="J83" s="141" t="s">
        <v>511</v>
      </c>
      <c r="K83" s="296" t="s">
        <v>512</v>
      </c>
      <c r="L83" s="84" t="s">
        <v>496</v>
      </c>
    </row>
    <row r="84" spans="1:12" ht="20.25" customHeight="1" thickBot="1">
      <c r="A84" s="365"/>
      <c r="B84" s="350" t="s">
        <v>248</v>
      </c>
      <c r="C84" s="25" t="s">
        <v>498</v>
      </c>
      <c r="D84" s="11">
        <v>55</v>
      </c>
      <c r="E84" s="149">
        <v>500</v>
      </c>
      <c r="F84" s="11">
        <v>100</v>
      </c>
      <c r="G84" s="11">
        <v>100</v>
      </c>
      <c r="H84" s="11">
        <v>100</v>
      </c>
      <c r="I84" s="11">
        <v>100</v>
      </c>
      <c r="J84" s="11">
        <v>100</v>
      </c>
      <c r="K84" s="11">
        <v>100</v>
      </c>
      <c r="L84" s="434" t="s">
        <v>538</v>
      </c>
    </row>
    <row r="85" spans="1:12" ht="15" customHeight="1" thickBot="1">
      <c r="A85" s="365"/>
      <c r="B85" s="351"/>
      <c r="C85" s="24" t="s">
        <v>500</v>
      </c>
      <c r="D85" s="152" t="s">
        <v>4</v>
      </c>
      <c r="E85" s="152"/>
      <c r="F85" s="156">
        <v>46</v>
      </c>
      <c r="G85" s="156">
        <v>50</v>
      </c>
      <c r="H85" s="189">
        <v>96</v>
      </c>
      <c r="I85" s="152"/>
      <c r="J85" s="152"/>
      <c r="K85" s="298"/>
      <c r="L85" s="435"/>
    </row>
    <row r="86" spans="1:12" ht="15" customHeight="1" thickBot="1">
      <c r="A86" s="365"/>
      <c r="B86" s="352"/>
      <c r="C86" s="14" t="s">
        <v>4</v>
      </c>
      <c r="D86" s="304" t="s">
        <v>543</v>
      </c>
      <c r="E86" s="127"/>
      <c r="F86" s="127"/>
      <c r="G86" s="127"/>
      <c r="H86" s="127"/>
      <c r="I86" s="127"/>
      <c r="J86" s="127"/>
      <c r="K86" s="127"/>
      <c r="L86" s="435"/>
    </row>
    <row r="87" spans="1:12" ht="12.95" thickBot="1">
      <c r="A87" s="366"/>
      <c r="B87" s="72" t="s">
        <v>4</v>
      </c>
      <c r="C87" s="16" t="s">
        <v>4</v>
      </c>
      <c r="D87" s="124" t="s">
        <v>544</v>
      </c>
      <c r="E87" s="125"/>
      <c r="F87" s="125"/>
      <c r="G87" s="125"/>
      <c r="H87" s="125"/>
      <c r="I87" s="125"/>
      <c r="J87" s="125"/>
      <c r="K87" s="125"/>
      <c r="L87" s="436"/>
    </row>
    <row r="88" spans="1:12" ht="12.95" thickBot="1">
      <c r="A88" s="8" t="s">
        <v>545</v>
      </c>
      <c r="B88" s="15"/>
      <c r="C88" s="16"/>
      <c r="D88" s="16"/>
      <c r="E88" s="16"/>
      <c r="F88" s="16"/>
      <c r="G88" s="16"/>
      <c r="H88" s="16"/>
      <c r="I88" s="16"/>
      <c r="J88" s="16"/>
      <c r="K88" s="16"/>
      <c r="L88" s="14"/>
    </row>
    <row r="89" spans="1:12" ht="12.6" customHeight="1" thickBot="1">
      <c r="A89" s="356" t="s">
        <v>527</v>
      </c>
      <c r="B89" s="22" t="s">
        <v>528</v>
      </c>
      <c r="C89" s="22" t="s">
        <v>4</v>
      </c>
      <c r="D89" s="22" t="s">
        <v>529</v>
      </c>
      <c r="E89" s="22"/>
      <c r="F89" s="22"/>
      <c r="G89" s="22"/>
      <c r="H89" s="22"/>
      <c r="I89" s="22"/>
      <c r="J89" s="22"/>
      <c r="K89" s="22"/>
      <c r="L89" s="146"/>
    </row>
    <row r="90" spans="1:12" ht="12.95" thickBot="1">
      <c r="A90" s="357"/>
      <c r="B90" s="11" t="s">
        <v>4</v>
      </c>
      <c r="C90" s="11" t="s">
        <v>4</v>
      </c>
      <c r="D90" s="11" t="s">
        <v>4</v>
      </c>
      <c r="E90" s="11"/>
      <c r="F90" s="11"/>
      <c r="G90" s="11"/>
      <c r="H90" s="11"/>
      <c r="I90" s="11"/>
      <c r="J90" s="11"/>
      <c r="K90" s="11"/>
      <c r="L90" s="144"/>
    </row>
    <row r="91" spans="1:12" ht="12.95" thickBot="1">
      <c r="A91" s="356" t="s">
        <v>530</v>
      </c>
      <c r="B91" s="22" t="s">
        <v>531</v>
      </c>
      <c r="C91" s="22" t="s">
        <v>4</v>
      </c>
      <c r="D91" s="358" t="s">
        <v>4</v>
      </c>
      <c r="E91" s="359"/>
      <c r="F91" s="359"/>
      <c r="G91" s="359"/>
      <c r="H91" s="359"/>
      <c r="I91" s="359"/>
      <c r="J91" s="359"/>
      <c r="K91" s="359"/>
      <c r="L91" s="360"/>
    </row>
    <row r="92" spans="1:12" ht="12.95" thickBot="1">
      <c r="A92" s="357"/>
      <c r="B92" s="11" t="s">
        <v>4</v>
      </c>
      <c r="C92" s="23" t="s">
        <v>4</v>
      </c>
      <c r="D92" s="361"/>
      <c r="E92" s="362"/>
      <c r="F92" s="362"/>
      <c r="G92" s="362"/>
      <c r="H92" s="362"/>
      <c r="I92" s="362"/>
      <c r="J92" s="362"/>
      <c r="K92" s="362"/>
      <c r="L92" s="363"/>
    </row>
    <row r="93" spans="1:12" ht="12.6">
      <c r="A93" s="18"/>
      <c r="B93" s="18"/>
      <c r="C93" s="18"/>
      <c r="D93" s="18"/>
      <c r="E93" s="18"/>
      <c r="F93" s="18"/>
      <c r="G93" s="18"/>
      <c r="H93" s="18"/>
      <c r="I93" s="18"/>
      <c r="J93" s="18"/>
      <c r="K93" s="18"/>
      <c r="L93" s="18"/>
    </row>
    <row r="94" spans="1:12" ht="12.95" thickBot="1">
      <c r="A94" s="18"/>
      <c r="B94" s="18"/>
      <c r="C94" s="18"/>
      <c r="D94" s="18"/>
      <c r="E94" s="18"/>
      <c r="F94" s="18"/>
      <c r="G94" s="18"/>
      <c r="H94" s="18"/>
      <c r="I94" s="18"/>
      <c r="J94" s="18"/>
      <c r="K94" s="18"/>
      <c r="L94" s="18"/>
    </row>
    <row r="95" spans="1:12" ht="46.5" thickBot="1">
      <c r="A95" s="19" t="s">
        <v>546</v>
      </c>
      <c r="B95" s="20" t="s">
        <v>547</v>
      </c>
      <c r="C95" s="142" t="s">
        <v>4</v>
      </c>
      <c r="D95" s="141" t="s">
        <v>495</v>
      </c>
      <c r="E95" s="136" t="s">
        <v>506</v>
      </c>
      <c r="F95" s="143" t="s">
        <v>507</v>
      </c>
      <c r="G95" s="143" t="s">
        <v>508</v>
      </c>
      <c r="H95" s="162" t="s">
        <v>509</v>
      </c>
      <c r="I95" s="143" t="s">
        <v>510</v>
      </c>
      <c r="J95" s="143" t="s">
        <v>511</v>
      </c>
      <c r="K95" s="141" t="s">
        <v>512</v>
      </c>
      <c r="L95" s="89" t="s">
        <v>496</v>
      </c>
    </row>
    <row r="96" spans="1:12" ht="39" customHeight="1" thickBot="1">
      <c r="A96" s="387" t="s">
        <v>548</v>
      </c>
      <c r="B96" s="350" t="s">
        <v>549</v>
      </c>
      <c r="C96" s="25" t="s">
        <v>498</v>
      </c>
      <c r="D96" s="85" t="s">
        <v>550</v>
      </c>
      <c r="E96" s="150" t="s">
        <v>551</v>
      </c>
      <c r="F96" s="85" t="s">
        <v>552</v>
      </c>
      <c r="G96" s="85" t="s">
        <v>553</v>
      </c>
      <c r="H96" s="85">
        <v>8.2000000000000003E-2</v>
      </c>
      <c r="I96" s="153">
        <v>0.08</v>
      </c>
      <c r="J96" s="85" t="s">
        <v>551</v>
      </c>
      <c r="K96" s="297" t="s">
        <v>551</v>
      </c>
      <c r="L96" s="437" t="s">
        <v>538</v>
      </c>
    </row>
    <row r="97" spans="1:12" ht="12.95" customHeight="1" thickBot="1">
      <c r="A97" s="388"/>
      <c r="B97" s="351"/>
      <c r="C97" s="24" t="s">
        <v>500</v>
      </c>
      <c r="D97" s="152" t="s">
        <v>4</v>
      </c>
      <c r="E97" s="152"/>
      <c r="F97" s="158" t="s">
        <v>554</v>
      </c>
      <c r="G97" s="305">
        <v>8.1000000000000003E-2</v>
      </c>
      <c r="H97" s="168">
        <f>(59579-54533)/59579</f>
        <v>8.4694271471491639E-2</v>
      </c>
      <c r="I97" s="152"/>
      <c r="J97" s="152"/>
      <c r="K97" s="298"/>
      <c r="L97" s="438"/>
    </row>
    <row r="98" spans="1:12" ht="12.95" customHeight="1" thickBot="1">
      <c r="A98" s="388"/>
      <c r="B98" s="351"/>
      <c r="C98" s="14" t="s">
        <v>4</v>
      </c>
      <c r="D98" s="126" t="s">
        <v>501</v>
      </c>
      <c r="E98" s="127"/>
      <c r="F98" s="127"/>
      <c r="G98" s="161"/>
      <c r="H98" s="161"/>
      <c r="I98" s="127"/>
      <c r="J98" s="127"/>
      <c r="K98" s="127"/>
      <c r="L98" s="438"/>
    </row>
    <row r="99" spans="1:12" ht="12.95" customHeight="1" thickBot="1">
      <c r="A99" s="388"/>
      <c r="B99" s="352"/>
      <c r="C99" s="16" t="s">
        <v>4</v>
      </c>
      <c r="D99" s="124" t="s">
        <v>184</v>
      </c>
      <c r="E99" s="125"/>
      <c r="F99" s="125"/>
      <c r="G99" s="125"/>
      <c r="H99" s="125"/>
      <c r="I99" s="125"/>
      <c r="J99" s="125"/>
      <c r="K99" s="125"/>
      <c r="L99" s="438"/>
    </row>
    <row r="100" spans="1:12" ht="46.5" thickBot="1">
      <c r="A100" s="388"/>
      <c r="B100" s="9" t="s">
        <v>555</v>
      </c>
      <c r="C100" s="9"/>
      <c r="D100" s="139" t="s">
        <v>495</v>
      </c>
      <c r="E100" s="136" t="s">
        <v>506</v>
      </c>
      <c r="F100" s="143" t="s">
        <v>507</v>
      </c>
      <c r="G100" s="143" t="s">
        <v>508</v>
      </c>
      <c r="H100" s="162" t="s">
        <v>509</v>
      </c>
      <c r="I100" s="143" t="s">
        <v>510</v>
      </c>
      <c r="J100" s="141" t="s">
        <v>511</v>
      </c>
      <c r="K100" s="296" t="s">
        <v>512</v>
      </c>
      <c r="L100" s="438"/>
    </row>
    <row r="101" spans="1:12" ht="21" customHeight="1" thickBot="1">
      <c r="A101" s="388"/>
      <c r="B101" s="350" t="s">
        <v>257</v>
      </c>
      <c r="C101" s="25" t="s">
        <v>498</v>
      </c>
      <c r="D101" s="147">
        <v>82896</v>
      </c>
      <c r="E101" s="151">
        <f>SUM(F101:K101)</f>
        <v>257689</v>
      </c>
      <c r="F101" s="93">
        <f>72689/2</f>
        <v>36344.5</v>
      </c>
      <c r="G101" s="93">
        <f>72689/2</f>
        <v>36344.5</v>
      </c>
      <c r="H101" s="93">
        <f>F101+G101</f>
        <v>72689</v>
      </c>
      <c r="I101" s="11">
        <f>74874/2</f>
        <v>37437</v>
      </c>
      <c r="J101" s="11">
        <f>I101</f>
        <v>37437</v>
      </c>
      <c r="K101" s="23">
        <f>J101</f>
        <v>37437</v>
      </c>
      <c r="L101" s="438"/>
    </row>
    <row r="102" spans="1:12" ht="12.95" customHeight="1" thickBot="1">
      <c r="A102" s="388"/>
      <c r="B102" s="351"/>
      <c r="C102" s="24" t="s">
        <v>500</v>
      </c>
      <c r="D102" s="152" t="s">
        <v>4</v>
      </c>
      <c r="E102" s="152"/>
      <c r="F102" s="167">
        <v>45497</v>
      </c>
      <c r="G102" s="167">
        <f>19871+17685</f>
        <v>37556</v>
      </c>
      <c r="H102" s="191">
        <f>G102+F102</f>
        <v>83053</v>
      </c>
      <c r="I102" s="152"/>
      <c r="J102" s="152"/>
      <c r="K102" s="298"/>
      <c r="L102" s="438"/>
    </row>
    <row r="103" spans="1:12" ht="12.95" customHeight="1" thickBot="1">
      <c r="A103" s="388"/>
      <c r="B103" s="351"/>
      <c r="C103" s="14" t="s">
        <v>4</v>
      </c>
      <c r="D103" s="126" t="s">
        <v>501</v>
      </c>
      <c r="E103" s="127"/>
      <c r="F103" s="127"/>
      <c r="G103" s="127"/>
      <c r="H103" s="127"/>
      <c r="I103" s="127"/>
      <c r="J103" s="127"/>
      <c r="K103" s="127"/>
      <c r="L103" s="438"/>
    </row>
    <row r="104" spans="1:12" ht="12.95" customHeight="1" thickBot="1">
      <c r="A104" s="388"/>
      <c r="B104" s="352"/>
      <c r="C104" s="16" t="s">
        <v>4</v>
      </c>
      <c r="D104" s="124" t="s">
        <v>197</v>
      </c>
      <c r="E104" s="125"/>
      <c r="F104" s="125"/>
      <c r="G104" s="125"/>
      <c r="H104" s="125"/>
      <c r="I104" s="125"/>
      <c r="J104" s="125"/>
      <c r="K104" s="125"/>
      <c r="L104" s="438"/>
    </row>
    <row r="105" spans="1:12" ht="46.5" thickBot="1">
      <c r="A105" s="388"/>
      <c r="B105" s="48" t="s">
        <v>556</v>
      </c>
      <c r="C105" s="9" t="s">
        <v>4</v>
      </c>
      <c r="D105" s="139" t="s">
        <v>495</v>
      </c>
      <c r="E105" s="136" t="s">
        <v>506</v>
      </c>
      <c r="F105" s="143" t="s">
        <v>507</v>
      </c>
      <c r="G105" s="143" t="s">
        <v>508</v>
      </c>
      <c r="H105" s="162" t="s">
        <v>509</v>
      </c>
      <c r="I105" s="143" t="s">
        <v>510</v>
      </c>
      <c r="J105" s="141" t="s">
        <v>511</v>
      </c>
      <c r="K105" s="296" t="s">
        <v>512</v>
      </c>
      <c r="L105" s="438"/>
    </row>
    <row r="106" spans="1:12" ht="20.25" customHeight="1" thickBot="1">
      <c r="A106" s="388"/>
      <c r="B106" s="350" t="s">
        <v>557</v>
      </c>
      <c r="C106" s="25" t="s">
        <v>498</v>
      </c>
      <c r="D106" s="166">
        <v>19195</v>
      </c>
      <c r="E106" s="165">
        <v>21193</v>
      </c>
      <c r="F106" s="166">
        <v>19579</v>
      </c>
      <c r="G106" s="166">
        <v>19970</v>
      </c>
      <c r="H106" s="166">
        <v>39549</v>
      </c>
      <c r="I106" s="166">
        <v>20370</v>
      </c>
      <c r="J106" s="166">
        <v>20777</v>
      </c>
      <c r="K106" s="250">
        <v>21193</v>
      </c>
      <c r="L106" s="438"/>
    </row>
    <row r="107" spans="1:12" ht="12.95" customHeight="1" thickBot="1">
      <c r="A107" s="388"/>
      <c r="B107" s="351"/>
      <c r="C107" s="24" t="s">
        <v>500</v>
      </c>
      <c r="D107" s="152"/>
      <c r="E107" s="152"/>
      <c r="F107" s="167">
        <v>20776</v>
      </c>
      <c r="G107" s="167">
        <f>12641+2271</f>
        <v>14912</v>
      </c>
      <c r="H107" s="167">
        <f>SUM(F107:G107)</f>
        <v>35688</v>
      </c>
      <c r="I107" s="152"/>
      <c r="J107" s="152"/>
      <c r="K107" s="298"/>
      <c r="L107" s="438"/>
    </row>
    <row r="108" spans="1:12" ht="12.95" customHeight="1" thickBot="1">
      <c r="A108" s="388"/>
      <c r="B108" s="351"/>
      <c r="C108" s="14" t="s">
        <v>4</v>
      </c>
      <c r="D108" s="126" t="s">
        <v>501</v>
      </c>
      <c r="E108" s="127"/>
      <c r="F108" s="127"/>
      <c r="G108" s="127"/>
      <c r="H108" s="127"/>
      <c r="I108" s="127"/>
      <c r="J108" s="127"/>
      <c r="K108" s="127"/>
      <c r="L108" s="438"/>
    </row>
    <row r="109" spans="1:12" ht="12.95" customHeight="1" thickBot="1">
      <c r="A109" s="388"/>
      <c r="B109" s="352"/>
      <c r="C109" s="16" t="s">
        <v>4</v>
      </c>
      <c r="D109" s="124" t="s">
        <v>184</v>
      </c>
      <c r="E109" s="125"/>
      <c r="F109" s="125"/>
      <c r="G109" s="125"/>
      <c r="H109" s="125"/>
      <c r="I109" s="125"/>
      <c r="J109" s="125"/>
      <c r="K109" s="125"/>
      <c r="L109" s="438"/>
    </row>
    <row r="110" spans="1:12" ht="46.5" thickBot="1">
      <c r="A110" s="388"/>
      <c r="B110" s="9" t="s">
        <v>558</v>
      </c>
      <c r="C110" s="9" t="s">
        <v>4</v>
      </c>
      <c r="D110" s="139" t="s">
        <v>495</v>
      </c>
      <c r="E110" s="136" t="s">
        <v>506</v>
      </c>
      <c r="F110" s="143" t="s">
        <v>507</v>
      </c>
      <c r="G110" s="143" t="s">
        <v>508</v>
      </c>
      <c r="H110" s="162" t="s">
        <v>509</v>
      </c>
      <c r="I110" s="143" t="s">
        <v>510</v>
      </c>
      <c r="J110" s="141" t="s">
        <v>511</v>
      </c>
      <c r="K110" s="296" t="s">
        <v>512</v>
      </c>
      <c r="L110" s="438"/>
    </row>
    <row r="111" spans="1:12" ht="21" customHeight="1" thickBot="1">
      <c r="A111" s="388"/>
      <c r="B111" s="350" t="s">
        <v>262</v>
      </c>
      <c r="C111" s="25" t="s">
        <v>498</v>
      </c>
      <c r="D111" s="11">
        <v>15308</v>
      </c>
      <c r="E111" s="149">
        <v>64273</v>
      </c>
      <c r="F111" s="11">
        <v>15615</v>
      </c>
      <c r="G111" s="11">
        <v>15926</v>
      </c>
      <c r="H111" s="147">
        <v>31541</v>
      </c>
      <c r="I111" s="11">
        <v>16245</v>
      </c>
      <c r="J111" s="11">
        <v>16570</v>
      </c>
      <c r="K111" s="23">
        <v>16901</v>
      </c>
      <c r="L111" s="438"/>
    </row>
    <row r="112" spans="1:12" ht="12.75" customHeight="1" thickBot="1">
      <c r="A112" s="388"/>
      <c r="B112" s="351"/>
      <c r="C112" s="24" t="s">
        <v>500</v>
      </c>
      <c r="D112" s="152"/>
      <c r="E112" s="152"/>
      <c r="F112" s="167">
        <v>15972</v>
      </c>
      <c r="G112" s="167">
        <f>10291+1821</f>
        <v>12112</v>
      </c>
      <c r="H112" s="167">
        <f>SUM(F112:G112)</f>
        <v>28084</v>
      </c>
      <c r="I112" s="152"/>
      <c r="J112" s="152"/>
      <c r="K112" s="298"/>
      <c r="L112" s="438"/>
    </row>
    <row r="113" spans="1:15" ht="12.75" customHeight="1" thickBot="1">
      <c r="A113" s="388"/>
      <c r="B113" s="351"/>
      <c r="C113" s="14" t="s">
        <v>4</v>
      </c>
      <c r="D113" s="126" t="s">
        <v>501</v>
      </c>
      <c r="E113" s="127"/>
      <c r="F113" s="127"/>
      <c r="G113" s="127"/>
      <c r="H113" s="127"/>
      <c r="I113" s="127"/>
      <c r="J113" s="127"/>
      <c r="K113" s="127"/>
      <c r="L113" s="438"/>
    </row>
    <row r="114" spans="1:15" ht="12.75" customHeight="1" thickBot="1">
      <c r="A114" s="389"/>
      <c r="B114" s="352"/>
      <c r="C114" s="16" t="s">
        <v>4</v>
      </c>
      <c r="D114" s="124" t="s">
        <v>184</v>
      </c>
      <c r="E114" s="125"/>
      <c r="F114" s="125"/>
      <c r="G114" s="125"/>
      <c r="H114" s="125"/>
      <c r="I114" s="125"/>
      <c r="J114" s="125"/>
      <c r="K114" s="125"/>
      <c r="L114" s="438"/>
    </row>
    <row r="115" spans="1:15" ht="12.95" thickBot="1">
      <c r="B115" s="9"/>
      <c r="C115" s="9" t="s">
        <v>4</v>
      </c>
      <c r="D115" s="10"/>
      <c r="E115" s="10"/>
      <c r="F115" s="10"/>
      <c r="G115" s="10"/>
      <c r="H115" s="10"/>
      <c r="I115" s="10"/>
      <c r="J115" s="10"/>
      <c r="K115" s="88"/>
      <c r="L115" s="439"/>
    </row>
    <row r="116" spans="1:15" ht="12.95" thickBot="1">
      <c r="A116" s="8" t="s">
        <v>559</v>
      </c>
      <c r="B116" s="15"/>
      <c r="C116" s="16"/>
      <c r="D116" s="16"/>
      <c r="E116" s="16"/>
      <c r="F116" s="16"/>
      <c r="G116" s="16"/>
      <c r="H116" s="16"/>
      <c r="I116" s="16"/>
      <c r="J116" s="16"/>
      <c r="K116" s="16"/>
      <c r="L116" s="14"/>
    </row>
    <row r="117" spans="1:15" ht="12.6" customHeight="1" thickBot="1">
      <c r="A117" s="356" t="s">
        <v>527</v>
      </c>
      <c r="B117" s="22" t="s">
        <v>528</v>
      </c>
      <c r="C117" s="22" t="s">
        <v>4</v>
      </c>
      <c r="D117" s="22" t="s">
        <v>529</v>
      </c>
      <c r="E117" s="22"/>
      <c r="F117" s="22"/>
      <c r="G117" s="22"/>
      <c r="H117" s="22"/>
      <c r="I117" s="22"/>
      <c r="J117" s="22"/>
      <c r="K117" s="22"/>
      <c r="L117" s="145"/>
    </row>
    <row r="118" spans="1:15" ht="12.95" thickBot="1">
      <c r="A118" s="357"/>
      <c r="B118" s="11" t="s">
        <v>4</v>
      </c>
      <c r="C118" s="11" t="s">
        <v>4</v>
      </c>
      <c r="D118" s="11" t="s">
        <v>4</v>
      </c>
      <c r="E118" s="11"/>
      <c r="F118" s="11"/>
      <c r="G118" s="11"/>
      <c r="H118" s="11"/>
      <c r="I118" s="11"/>
      <c r="J118" s="11"/>
      <c r="K118" s="11"/>
      <c r="L118" s="144"/>
    </row>
    <row r="119" spans="1:15" ht="12.95" thickBot="1">
      <c r="A119" s="356" t="s">
        <v>530</v>
      </c>
      <c r="B119" s="22" t="s">
        <v>531</v>
      </c>
      <c r="C119" s="22" t="s">
        <v>4</v>
      </c>
      <c r="D119" s="358" t="s">
        <v>4</v>
      </c>
      <c r="E119" s="359"/>
      <c r="F119" s="359"/>
      <c r="G119" s="359"/>
      <c r="H119" s="359"/>
      <c r="I119" s="359"/>
      <c r="J119" s="359"/>
      <c r="K119" s="359"/>
      <c r="L119" s="360"/>
    </row>
    <row r="120" spans="1:15" ht="12.95" thickBot="1">
      <c r="A120" s="357"/>
      <c r="B120" s="11" t="s">
        <v>4</v>
      </c>
      <c r="C120" s="23" t="s">
        <v>4</v>
      </c>
      <c r="D120" s="361"/>
      <c r="E120" s="362"/>
      <c r="F120" s="362"/>
      <c r="G120" s="362"/>
      <c r="H120" s="362"/>
      <c r="I120" s="362"/>
      <c r="J120" s="362"/>
      <c r="K120" s="362"/>
      <c r="L120" s="363"/>
    </row>
    <row r="121" spans="1:15" ht="12.95" thickBot="1">
      <c r="A121" s="18"/>
      <c r="B121" s="18"/>
      <c r="C121" s="18"/>
      <c r="D121" s="18" t="s">
        <v>4</v>
      </c>
      <c r="E121" s="18"/>
      <c r="F121" s="18"/>
      <c r="G121" s="18"/>
      <c r="H121" s="18"/>
      <c r="I121" s="18"/>
      <c r="J121" s="18"/>
      <c r="K121" s="18"/>
      <c r="L121" s="18" t="s">
        <v>4</v>
      </c>
    </row>
    <row r="122" spans="1:15" ht="46.5" thickBot="1">
      <c r="A122" s="19" t="s">
        <v>560</v>
      </c>
      <c r="B122" s="20" t="s">
        <v>561</v>
      </c>
      <c r="C122" s="142" t="s">
        <v>4</v>
      </c>
      <c r="D122" s="141" t="s">
        <v>495</v>
      </c>
      <c r="E122" s="136" t="s">
        <v>506</v>
      </c>
      <c r="F122" s="143" t="s">
        <v>507</v>
      </c>
      <c r="G122" s="143" t="s">
        <v>508</v>
      </c>
      <c r="H122" s="162" t="s">
        <v>509</v>
      </c>
      <c r="I122" s="143" t="s">
        <v>510</v>
      </c>
      <c r="J122" s="141" t="s">
        <v>511</v>
      </c>
      <c r="K122" s="296" t="s">
        <v>512</v>
      </c>
      <c r="L122" s="89" t="s">
        <v>496</v>
      </c>
    </row>
    <row r="123" spans="1:15" ht="29.45" customHeight="1" thickBot="1">
      <c r="A123" s="371" t="s">
        <v>562</v>
      </c>
      <c r="B123" s="379" t="s">
        <v>563</v>
      </c>
      <c r="C123" s="25" t="s">
        <v>498</v>
      </c>
      <c r="D123" s="166">
        <v>247777</v>
      </c>
      <c r="E123" s="165">
        <v>287241</v>
      </c>
      <c r="F123" s="166">
        <v>255410</v>
      </c>
      <c r="G123" s="166">
        <v>262867</v>
      </c>
      <c r="H123" s="166">
        <f>F123+G123</f>
        <v>518277</v>
      </c>
      <c r="I123" s="166">
        <v>270753</v>
      </c>
      <c r="J123" s="166">
        <v>278875</v>
      </c>
      <c r="K123" s="250">
        <v>287241</v>
      </c>
      <c r="L123" s="440" t="s">
        <v>538</v>
      </c>
      <c r="O123" s="197"/>
    </row>
    <row r="124" spans="1:15" ht="12.95" customHeight="1" thickBot="1">
      <c r="A124" s="372"/>
      <c r="B124" s="380"/>
      <c r="C124" s="24" t="s">
        <v>500</v>
      </c>
      <c r="D124" s="152" t="s">
        <v>4</v>
      </c>
      <c r="E124" s="152"/>
      <c r="F124" s="164">
        <v>272966</v>
      </c>
      <c r="G124" s="164">
        <f>193308+31798</f>
        <v>225106</v>
      </c>
      <c r="H124" s="164">
        <f>SUM(F124:G124)</f>
        <v>498072</v>
      </c>
      <c r="I124" s="152"/>
      <c r="J124" s="152"/>
      <c r="K124" s="298"/>
      <c r="L124" s="441"/>
    </row>
    <row r="125" spans="1:15" ht="12.95" customHeight="1" thickBot="1">
      <c r="A125" s="372"/>
      <c r="B125" s="380"/>
      <c r="C125" s="14" t="s">
        <v>4</v>
      </c>
      <c r="D125" s="126" t="s">
        <v>501</v>
      </c>
      <c r="E125" s="127"/>
      <c r="F125" s="127"/>
      <c r="G125" s="127"/>
      <c r="H125" s="127"/>
      <c r="I125" s="127"/>
      <c r="J125" s="127"/>
      <c r="K125" s="127"/>
      <c r="L125" s="441"/>
    </row>
    <row r="126" spans="1:15" ht="12.95" customHeight="1" thickBot="1">
      <c r="A126" s="372"/>
      <c r="B126" s="381"/>
      <c r="C126" s="16" t="s">
        <v>4</v>
      </c>
      <c r="D126" s="124" t="s">
        <v>184</v>
      </c>
      <c r="E126" s="125"/>
      <c r="F126" s="125"/>
      <c r="G126" s="125"/>
      <c r="H126" s="125"/>
      <c r="I126" s="125"/>
      <c r="J126" s="125"/>
      <c r="K126" s="125"/>
      <c r="L126" s="441"/>
    </row>
    <row r="127" spans="1:15" ht="46.5" thickBot="1">
      <c r="A127" s="372"/>
      <c r="B127" s="48" t="s">
        <v>564</v>
      </c>
      <c r="C127" s="9" t="s">
        <v>4</v>
      </c>
      <c r="D127" s="139" t="s">
        <v>495</v>
      </c>
      <c r="E127" s="136" t="s">
        <v>506</v>
      </c>
      <c r="F127" s="143" t="s">
        <v>507</v>
      </c>
      <c r="G127" s="143" t="s">
        <v>508</v>
      </c>
      <c r="H127" s="162" t="s">
        <v>509</v>
      </c>
      <c r="I127" s="143" t="s">
        <v>510</v>
      </c>
      <c r="J127" s="141" t="s">
        <v>511</v>
      </c>
      <c r="K127" s="296" t="s">
        <v>512</v>
      </c>
      <c r="L127" s="441"/>
    </row>
    <row r="128" spans="1:15" ht="23.45" customHeight="1" thickBot="1">
      <c r="A128" s="372"/>
      <c r="B128" s="350" t="s">
        <v>565</v>
      </c>
      <c r="C128" s="25" t="s">
        <v>498</v>
      </c>
      <c r="D128" s="82">
        <v>0</v>
      </c>
      <c r="E128" s="138">
        <v>0.8</v>
      </c>
      <c r="F128" s="82">
        <v>0.8</v>
      </c>
      <c r="G128" s="82">
        <v>0.8</v>
      </c>
      <c r="H128" s="82">
        <v>0.8</v>
      </c>
      <c r="I128" s="82">
        <v>0.8</v>
      </c>
      <c r="J128" s="82">
        <v>0.8</v>
      </c>
      <c r="K128" s="299">
        <v>0.8</v>
      </c>
      <c r="L128" s="441"/>
    </row>
    <row r="129" spans="1:12" ht="12.95" customHeight="1" thickBot="1">
      <c r="A129" s="372"/>
      <c r="B129" s="351"/>
      <c r="C129" s="24" t="s">
        <v>500</v>
      </c>
      <c r="D129" s="152" t="s">
        <v>4</v>
      </c>
      <c r="E129" s="152"/>
      <c r="F129" s="157">
        <v>0.7</v>
      </c>
      <c r="G129" s="157">
        <v>0.7</v>
      </c>
      <c r="H129" s="157">
        <v>0.74</v>
      </c>
      <c r="I129" s="152"/>
      <c r="J129" s="152"/>
      <c r="K129" s="298"/>
      <c r="L129" s="441"/>
    </row>
    <row r="130" spans="1:12" ht="12.95" customHeight="1" thickBot="1">
      <c r="A130" s="372"/>
      <c r="B130" s="351"/>
      <c r="C130" s="14" t="s">
        <v>4</v>
      </c>
      <c r="D130" s="126" t="s">
        <v>501</v>
      </c>
      <c r="E130" s="127"/>
      <c r="F130" s="127"/>
      <c r="G130" s="127"/>
      <c r="H130" s="127"/>
      <c r="I130" s="127"/>
      <c r="J130" s="127"/>
      <c r="K130" s="127"/>
      <c r="L130" s="441"/>
    </row>
    <row r="131" spans="1:12" ht="12.95" customHeight="1" thickBot="1">
      <c r="A131" s="372"/>
      <c r="B131" s="352"/>
      <c r="C131" s="16" t="s">
        <v>4</v>
      </c>
      <c r="D131" s="124" t="s">
        <v>566</v>
      </c>
      <c r="E131" s="125"/>
      <c r="F131" s="125"/>
      <c r="G131" s="125"/>
      <c r="H131" s="125"/>
      <c r="I131" s="125"/>
      <c r="J131" s="125"/>
      <c r="K131" s="125"/>
      <c r="L131" s="441"/>
    </row>
    <row r="132" spans="1:12" ht="12.95" thickBot="1">
      <c r="A132" s="19" t="s">
        <v>567</v>
      </c>
      <c r="B132" s="15"/>
      <c r="C132" s="16"/>
      <c r="D132" s="16"/>
      <c r="E132" s="16"/>
      <c r="F132" s="16"/>
      <c r="G132" s="16"/>
      <c r="H132" s="16"/>
      <c r="I132" s="16"/>
      <c r="J132" s="16"/>
      <c r="K132" s="16"/>
      <c r="L132" s="14"/>
    </row>
    <row r="133" spans="1:12" ht="12.6" customHeight="1" thickBot="1">
      <c r="A133" s="356" t="s">
        <v>527</v>
      </c>
      <c r="B133" s="22" t="s">
        <v>528</v>
      </c>
      <c r="C133" s="22" t="s">
        <v>4</v>
      </c>
      <c r="D133" s="22" t="s">
        <v>529</v>
      </c>
      <c r="E133" s="22"/>
      <c r="F133" s="22"/>
      <c r="G133" s="22"/>
      <c r="H133" s="22"/>
      <c r="I133" s="22"/>
      <c r="J133" s="22"/>
      <c r="K133" s="22"/>
      <c r="L133" s="145"/>
    </row>
    <row r="134" spans="1:12" ht="12.95" thickBot="1">
      <c r="A134" s="357"/>
      <c r="B134" s="11" t="s">
        <v>4</v>
      </c>
      <c r="C134" s="11" t="s">
        <v>4</v>
      </c>
      <c r="D134" s="11" t="s">
        <v>4</v>
      </c>
      <c r="E134" s="11"/>
      <c r="F134" s="11"/>
      <c r="G134" s="11"/>
      <c r="H134" s="11"/>
      <c r="I134" s="11"/>
      <c r="J134" s="11"/>
      <c r="K134" s="11"/>
      <c r="L134" s="144"/>
    </row>
    <row r="135" spans="1:12" ht="12.95" thickBot="1">
      <c r="A135" s="356" t="s">
        <v>530</v>
      </c>
      <c r="B135" s="22" t="s">
        <v>531</v>
      </c>
      <c r="C135" s="22" t="s">
        <v>4</v>
      </c>
      <c r="D135" s="358" t="s">
        <v>4</v>
      </c>
      <c r="E135" s="359"/>
      <c r="F135" s="359"/>
      <c r="G135" s="359"/>
      <c r="H135" s="359"/>
      <c r="I135" s="359"/>
      <c r="J135" s="359"/>
      <c r="K135" s="359"/>
      <c r="L135" s="360"/>
    </row>
    <row r="136" spans="1:12" ht="12.95" thickBot="1">
      <c r="A136" s="357"/>
      <c r="B136" s="11" t="s">
        <v>4</v>
      </c>
      <c r="C136" s="23" t="s">
        <v>4</v>
      </c>
      <c r="D136" s="361"/>
      <c r="E136" s="362"/>
      <c r="F136" s="362"/>
      <c r="G136" s="362"/>
      <c r="H136" s="362"/>
      <c r="I136" s="362"/>
      <c r="J136" s="362"/>
      <c r="K136" s="362"/>
      <c r="L136" s="363"/>
    </row>
    <row r="137" spans="1:12" ht="12.95" thickBot="1"/>
    <row r="138" spans="1:12" ht="46.5" thickBot="1">
      <c r="A138" s="19" t="s">
        <v>568</v>
      </c>
      <c r="B138" s="20" t="s">
        <v>569</v>
      </c>
      <c r="C138" s="142" t="s">
        <v>4</v>
      </c>
      <c r="D138" s="141" t="s">
        <v>495</v>
      </c>
      <c r="E138" s="136" t="s">
        <v>506</v>
      </c>
      <c r="F138" s="143" t="s">
        <v>507</v>
      </c>
      <c r="G138" s="143" t="s">
        <v>508</v>
      </c>
      <c r="H138" s="162" t="s">
        <v>509</v>
      </c>
      <c r="I138" s="143" t="s">
        <v>510</v>
      </c>
      <c r="J138" s="141" t="s">
        <v>511</v>
      </c>
      <c r="K138" s="296" t="s">
        <v>512</v>
      </c>
      <c r="L138" s="89" t="s">
        <v>496</v>
      </c>
    </row>
    <row r="139" spans="1:12" ht="22.5" customHeight="1" thickBot="1">
      <c r="A139" s="371" t="s">
        <v>570</v>
      </c>
      <c r="B139" s="374" t="s">
        <v>571</v>
      </c>
      <c r="C139" s="25" t="s">
        <v>498</v>
      </c>
      <c r="D139" s="166">
        <v>212003</v>
      </c>
      <c r="E139" s="165">
        <v>157948</v>
      </c>
      <c r="F139" s="166">
        <f>306974/2</f>
        <v>153487</v>
      </c>
      <c r="G139" s="166">
        <f>F139</f>
        <v>153487</v>
      </c>
      <c r="H139" s="166">
        <f>G139+F139</f>
        <v>306974</v>
      </c>
      <c r="I139" s="166">
        <f>315895/2</f>
        <v>157947.5</v>
      </c>
      <c r="J139" s="166">
        <f>I139</f>
        <v>157947.5</v>
      </c>
      <c r="K139" s="250">
        <f>J139</f>
        <v>157947.5</v>
      </c>
      <c r="L139" s="325" t="s">
        <v>572</v>
      </c>
    </row>
    <row r="140" spans="1:12" ht="12.95" customHeight="1" thickBot="1">
      <c r="A140" s="372"/>
      <c r="B140" s="375"/>
      <c r="C140" s="24" t="s">
        <v>500</v>
      </c>
      <c r="D140" s="152" t="s">
        <v>4</v>
      </c>
      <c r="E140" s="164"/>
      <c r="F140" s="164">
        <v>183379</v>
      </c>
      <c r="G140" s="306">
        <f>74635+52519</f>
        <v>127154</v>
      </c>
      <c r="H140" s="190">
        <f>G140+F140</f>
        <v>310533</v>
      </c>
      <c r="I140" s="267"/>
      <c r="J140" s="152"/>
      <c r="K140" s="298"/>
      <c r="L140" s="326"/>
    </row>
    <row r="141" spans="1:12" ht="12.95" customHeight="1" thickBot="1">
      <c r="A141" s="372"/>
      <c r="B141" s="375"/>
      <c r="C141" s="14" t="s">
        <v>4</v>
      </c>
      <c r="D141" s="126" t="s">
        <v>501</v>
      </c>
      <c r="E141" s="127"/>
      <c r="F141" s="127"/>
      <c r="G141" s="127"/>
      <c r="H141" s="127"/>
      <c r="I141" s="127"/>
      <c r="J141" s="127"/>
      <c r="K141" s="127"/>
      <c r="L141" s="326"/>
    </row>
    <row r="142" spans="1:12" ht="12.95" customHeight="1" thickBot="1">
      <c r="A142" s="372"/>
      <c r="B142" s="375"/>
      <c r="C142" s="16" t="s">
        <v>4</v>
      </c>
      <c r="D142" s="124" t="s">
        <v>197</v>
      </c>
      <c r="E142" s="125"/>
      <c r="F142" s="125"/>
      <c r="G142" s="125"/>
      <c r="H142" s="125"/>
      <c r="I142" s="125"/>
      <c r="J142" s="125"/>
      <c r="K142" s="125"/>
      <c r="L142" s="327"/>
    </row>
    <row r="143" spans="1:12" ht="46.5" thickBot="1">
      <c r="A143" s="372"/>
      <c r="B143" s="7" t="s">
        <v>573</v>
      </c>
      <c r="C143" s="9" t="s">
        <v>4</v>
      </c>
      <c r="D143" s="139" t="s">
        <v>495</v>
      </c>
      <c r="E143" s="136" t="s">
        <v>506</v>
      </c>
      <c r="F143" s="143" t="s">
        <v>507</v>
      </c>
      <c r="G143" s="143" t="s">
        <v>508</v>
      </c>
      <c r="H143" s="162" t="s">
        <v>509</v>
      </c>
      <c r="I143" s="143" t="s">
        <v>510</v>
      </c>
      <c r="J143" s="141" t="s">
        <v>511</v>
      </c>
      <c r="K143" s="296" t="s">
        <v>512</v>
      </c>
      <c r="L143" s="84" t="s">
        <v>496</v>
      </c>
    </row>
    <row r="144" spans="1:12" ht="21" customHeight="1" thickBot="1">
      <c r="A144" s="372"/>
      <c r="B144" s="377" t="s">
        <v>574</v>
      </c>
      <c r="C144" s="25" t="s">
        <v>498</v>
      </c>
      <c r="D144" s="93"/>
      <c r="E144" s="151" t="s">
        <v>234</v>
      </c>
      <c r="F144" s="93">
        <v>4825</v>
      </c>
      <c r="G144" s="93">
        <v>4825</v>
      </c>
      <c r="H144" s="93">
        <v>5416</v>
      </c>
      <c r="I144" s="93"/>
      <c r="J144" s="93"/>
      <c r="K144" s="307"/>
      <c r="L144" s="442" t="s">
        <v>575</v>
      </c>
    </row>
    <row r="145" spans="1:12" ht="29.25" customHeight="1" thickBot="1">
      <c r="A145" s="372"/>
      <c r="B145" s="377"/>
      <c r="C145" s="24" t="s">
        <v>500</v>
      </c>
      <c r="D145" s="152" t="s">
        <v>4</v>
      </c>
      <c r="E145" s="152"/>
      <c r="F145" s="152"/>
      <c r="G145" s="152"/>
      <c r="H145" s="157">
        <v>1.1200000000000001</v>
      </c>
      <c r="I145" s="152"/>
      <c r="J145" s="152"/>
      <c r="K145" s="298"/>
      <c r="L145" s="443"/>
    </row>
    <row r="146" spans="1:12" ht="20.25" customHeight="1" thickBot="1">
      <c r="A146" s="372"/>
      <c r="B146" s="377"/>
      <c r="C146" s="14" t="s">
        <v>4</v>
      </c>
      <c r="D146" s="304" t="s">
        <v>576</v>
      </c>
      <c r="E146" s="127"/>
      <c r="F146" s="127"/>
      <c r="G146" s="127"/>
      <c r="H146" s="127"/>
      <c r="I146" s="127"/>
      <c r="J146" s="127"/>
      <c r="K146" s="127"/>
      <c r="L146" s="443"/>
    </row>
    <row r="147" spans="1:12" ht="12.95" customHeight="1" thickBot="1">
      <c r="A147" s="373"/>
      <c r="B147" s="378"/>
      <c r="C147" s="16" t="s">
        <v>4</v>
      </c>
      <c r="D147" s="124" t="s">
        <v>577</v>
      </c>
      <c r="E147" s="125"/>
      <c r="F147" s="125"/>
      <c r="G147" s="125"/>
      <c r="H147" s="125"/>
      <c r="I147" s="125"/>
      <c r="J147" s="125"/>
      <c r="K147" s="125"/>
      <c r="L147" s="444"/>
    </row>
    <row r="148" spans="1:12" ht="12.95" thickBot="1">
      <c r="A148" s="19" t="s">
        <v>578</v>
      </c>
      <c r="B148" s="15"/>
      <c r="C148" s="16"/>
      <c r="D148" s="16"/>
      <c r="E148" s="16"/>
      <c r="F148" s="16"/>
      <c r="G148" s="16"/>
      <c r="H148" s="16"/>
      <c r="I148" s="16"/>
      <c r="J148" s="16"/>
      <c r="K148" s="16"/>
      <c r="L148" s="14"/>
    </row>
    <row r="149" spans="1:12" ht="12.6" customHeight="1" thickBot="1">
      <c r="A149" s="356" t="s">
        <v>527</v>
      </c>
      <c r="B149" s="22" t="s">
        <v>528</v>
      </c>
      <c r="C149" s="22" t="s">
        <v>4</v>
      </c>
      <c r="D149" s="22" t="s">
        <v>529</v>
      </c>
      <c r="E149" s="22"/>
      <c r="F149" s="22"/>
      <c r="G149" s="22"/>
      <c r="H149" s="22"/>
      <c r="I149" s="22"/>
      <c r="J149" s="22"/>
      <c r="K149" s="22"/>
      <c r="L149" s="145"/>
    </row>
    <row r="150" spans="1:12" ht="12.95" thickBot="1">
      <c r="A150" s="357"/>
      <c r="B150" s="11" t="s">
        <v>4</v>
      </c>
      <c r="C150" s="11" t="s">
        <v>4</v>
      </c>
      <c r="D150" s="11" t="s">
        <v>4</v>
      </c>
      <c r="E150" s="11"/>
      <c r="F150" s="11"/>
      <c r="G150" s="11"/>
      <c r="H150" s="11"/>
      <c r="I150" s="11"/>
      <c r="J150" s="11"/>
      <c r="K150" s="11"/>
      <c r="L150" s="144"/>
    </row>
    <row r="151" spans="1:12" ht="12.95" thickBot="1">
      <c r="A151" s="356" t="s">
        <v>530</v>
      </c>
      <c r="B151" s="22" t="s">
        <v>531</v>
      </c>
      <c r="C151" s="22" t="s">
        <v>4</v>
      </c>
      <c r="D151" s="358" t="s">
        <v>4</v>
      </c>
      <c r="E151" s="359"/>
      <c r="F151" s="359"/>
      <c r="G151" s="359"/>
      <c r="H151" s="359"/>
      <c r="I151" s="359"/>
      <c r="J151" s="359"/>
      <c r="K151" s="359"/>
      <c r="L151" s="360"/>
    </row>
    <row r="152" spans="1:12" ht="12.95" thickBot="1">
      <c r="A152" s="357"/>
      <c r="B152" s="11" t="s">
        <v>4</v>
      </c>
      <c r="C152" s="23" t="s">
        <v>4</v>
      </c>
      <c r="D152" s="361"/>
      <c r="E152" s="362"/>
      <c r="F152" s="362"/>
      <c r="G152" s="362"/>
      <c r="H152" s="362"/>
      <c r="I152" s="362"/>
      <c r="J152" s="362"/>
      <c r="K152" s="362"/>
      <c r="L152" s="363"/>
    </row>
    <row r="153" spans="1:12" ht="12.95" thickBot="1"/>
    <row r="154" spans="1:12" ht="46.5" thickBot="1">
      <c r="A154" s="19" t="s">
        <v>579</v>
      </c>
      <c r="B154" s="20" t="s">
        <v>580</v>
      </c>
      <c r="C154" s="142" t="s">
        <v>4</v>
      </c>
      <c r="D154" s="141" t="s">
        <v>495</v>
      </c>
      <c r="E154" s="136" t="s">
        <v>506</v>
      </c>
      <c r="F154" s="143" t="s">
        <v>507</v>
      </c>
      <c r="G154" s="143" t="s">
        <v>508</v>
      </c>
      <c r="H154" s="162" t="s">
        <v>509</v>
      </c>
      <c r="I154" s="143" t="s">
        <v>510</v>
      </c>
      <c r="J154" s="141" t="s">
        <v>511</v>
      </c>
      <c r="K154" s="296" t="s">
        <v>512</v>
      </c>
      <c r="L154" s="89" t="s">
        <v>496</v>
      </c>
    </row>
    <row r="155" spans="1:12" ht="29.45" customHeight="1" thickBot="1">
      <c r="A155" s="364" t="s">
        <v>581</v>
      </c>
      <c r="B155" s="379" t="s">
        <v>582</v>
      </c>
      <c r="C155" s="25" t="s">
        <v>498</v>
      </c>
      <c r="D155" s="82">
        <v>0.9</v>
      </c>
      <c r="E155" s="138">
        <v>0.95</v>
      </c>
      <c r="F155" s="82">
        <v>0.95</v>
      </c>
      <c r="G155" s="82">
        <v>0.95</v>
      </c>
      <c r="H155" s="82">
        <v>0.95</v>
      </c>
      <c r="I155" s="82">
        <v>0.95</v>
      </c>
      <c r="J155" s="82">
        <v>0.95</v>
      </c>
      <c r="K155" s="299">
        <v>0.95</v>
      </c>
      <c r="L155" s="445" t="s">
        <v>583</v>
      </c>
    </row>
    <row r="156" spans="1:12" ht="12.95" customHeight="1" thickBot="1">
      <c r="A156" s="365"/>
      <c r="B156" s="380"/>
      <c r="C156" s="24" t="s">
        <v>500</v>
      </c>
      <c r="D156" s="152" t="s">
        <v>4</v>
      </c>
      <c r="E156" s="152"/>
      <c r="F156" s="157">
        <v>0.96</v>
      </c>
      <c r="G156" s="157">
        <v>0.96</v>
      </c>
      <c r="H156" s="157">
        <v>0.96</v>
      </c>
      <c r="I156" s="152"/>
      <c r="J156" s="152"/>
      <c r="K156" s="298"/>
      <c r="L156" s="446"/>
    </row>
    <row r="157" spans="1:12" ht="12.95" customHeight="1" thickBot="1">
      <c r="A157" s="365"/>
      <c r="B157" s="380"/>
      <c r="C157" s="14" t="s">
        <v>4</v>
      </c>
      <c r="D157" s="126" t="s">
        <v>501</v>
      </c>
      <c r="E157" s="127"/>
      <c r="F157" s="127"/>
      <c r="G157" s="127"/>
      <c r="H157" s="127"/>
      <c r="I157" s="127"/>
      <c r="J157" s="127"/>
      <c r="K157" s="127"/>
      <c r="L157" s="446"/>
    </row>
    <row r="158" spans="1:12" ht="12.95" customHeight="1" thickBot="1">
      <c r="A158" s="365"/>
      <c r="B158" s="381"/>
      <c r="C158" s="16" t="s">
        <v>4</v>
      </c>
      <c r="D158" s="124" t="s">
        <v>184</v>
      </c>
      <c r="E158" s="125"/>
      <c r="F158" s="125"/>
      <c r="G158" s="125"/>
      <c r="H158" s="125"/>
      <c r="I158" s="125"/>
      <c r="J158" s="125"/>
      <c r="K158" s="125"/>
      <c r="L158" s="446"/>
    </row>
    <row r="159" spans="1:12" ht="46.5" thickBot="1">
      <c r="A159" s="365"/>
      <c r="B159" s="91" t="s">
        <v>584</v>
      </c>
      <c r="C159" s="9" t="s">
        <v>4</v>
      </c>
      <c r="D159" s="139" t="s">
        <v>495</v>
      </c>
      <c r="E159" s="136" t="s">
        <v>506</v>
      </c>
      <c r="F159" s="143" t="s">
        <v>507</v>
      </c>
      <c r="G159" s="143" t="s">
        <v>508</v>
      </c>
      <c r="H159" s="162" t="s">
        <v>509</v>
      </c>
      <c r="I159" s="143" t="s">
        <v>510</v>
      </c>
      <c r="J159" s="141" t="s">
        <v>511</v>
      </c>
      <c r="K159" s="240" t="s">
        <v>512</v>
      </c>
      <c r="L159" s="446"/>
    </row>
    <row r="160" spans="1:12" ht="12.95" thickBot="1">
      <c r="A160" s="372"/>
      <c r="B160" s="374" t="s">
        <v>292</v>
      </c>
      <c r="C160" s="25" t="s">
        <v>498</v>
      </c>
      <c r="D160" s="93">
        <v>2</v>
      </c>
      <c r="E160" s="151">
        <v>10</v>
      </c>
      <c r="F160" s="93">
        <v>2</v>
      </c>
      <c r="G160" s="93">
        <v>2</v>
      </c>
      <c r="H160" s="93">
        <v>4</v>
      </c>
      <c r="I160" s="93">
        <v>2</v>
      </c>
      <c r="J160" s="93">
        <v>2</v>
      </c>
      <c r="K160" s="307">
        <v>2</v>
      </c>
      <c r="L160" s="446"/>
    </row>
    <row r="161" spans="1:12" ht="12.95" customHeight="1" thickBot="1">
      <c r="A161" s="372"/>
      <c r="B161" s="375"/>
      <c r="C161" s="24" t="s">
        <v>500</v>
      </c>
      <c r="D161" s="152" t="s">
        <v>4</v>
      </c>
      <c r="E161" s="156">
        <v>1</v>
      </c>
      <c r="F161" s="156">
        <v>1</v>
      </c>
      <c r="G161" s="156">
        <v>2</v>
      </c>
      <c r="H161" s="189">
        <v>6</v>
      </c>
      <c r="I161" s="152"/>
      <c r="J161" s="152"/>
      <c r="K161" s="298"/>
      <c r="L161" s="446"/>
    </row>
    <row r="162" spans="1:12" ht="12.95" customHeight="1" thickBot="1">
      <c r="A162" s="372"/>
      <c r="B162" s="375"/>
      <c r="C162" s="14" t="s">
        <v>4</v>
      </c>
      <c r="D162" s="126" t="s">
        <v>501</v>
      </c>
      <c r="E162" s="127"/>
      <c r="F162" s="127"/>
      <c r="G162" s="127"/>
      <c r="H162" s="127"/>
      <c r="I162" s="127"/>
      <c r="J162" s="127"/>
      <c r="K162" s="127"/>
      <c r="L162" s="446"/>
    </row>
    <row r="163" spans="1:12" ht="12.95" customHeight="1" thickBot="1">
      <c r="A163" s="373"/>
      <c r="B163" s="376"/>
      <c r="C163" s="16" t="s">
        <v>4</v>
      </c>
      <c r="D163" s="124" t="s">
        <v>236</v>
      </c>
      <c r="E163" s="125"/>
      <c r="F163" s="125"/>
      <c r="G163" s="125"/>
      <c r="H163" s="125"/>
      <c r="I163" s="125"/>
      <c r="J163" s="125"/>
      <c r="K163" s="125"/>
      <c r="L163" s="446"/>
    </row>
    <row r="164" spans="1:12" ht="46.5" thickBot="1">
      <c r="A164" s="8" t="s">
        <v>585</v>
      </c>
      <c r="B164" s="9" t="s">
        <v>586</v>
      </c>
      <c r="C164" s="9" t="s">
        <v>4</v>
      </c>
      <c r="D164" s="139" t="s">
        <v>495</v>
      </c>
      <c r="E164" s="136" t="s">
        <v>506</v>
      </c>
      <c r="F164" s="143" t="s">
        <v>507</v>
      </c>
      <c r="G164" s="143" t="s">
        <v>508</v>
      </c>
      <c r="H164" s="162" t="s">
        <v>509</v>
      </c>
      <c r="I164" s="143" t="s">
        <v>510</v>
      </c>
      <c r="J164" s="141" t="s">
        <v>511</v>
      </c>
      <c r="K164" s="240" t="s">
        <v>512</v>
      </c>
      <c r="L164" s="446"/>
    </row>
    <row r="165" spans="1:12" ht="23.45" customHeight="1" thickBot="1">
      <c r="A165" s="400" t="s">
        <v>4</v>
      </c>
      <c r="B165" s="397" t="s">
        <v>587</v>
      </c>
      <c r="C165" s="25" t="s">
        <v>498</v>
      </c>
      <c r="D165" s="93">
        <v>0</v>
      </c>
      <c r="E165" s="138">
        <v>0.9</v>
      </c>
      <c r="F165" s="82">
        <v>0.7</v>
      </c>
      <c r="G165" s="82">
        <v>0.75</v>
      </c>
      <c r="H165" s="82">
        <v>0.75</v>
      </c>
      <c r="I165" s="82">
        <v>0.8</v>
      </c>
      <c r="J165" s="82">
        <v>0.85</v>
      </c>
      <c r="K165" s="299">
        <v>0.9</v>
      </c>
      <c r="L165" s="446"/>
    </row>
    <row r="166" spans="1:12" ht="12.95" customHeight="1" thickBot="1">
      <c r="A166" s="401"/>
      <c r="B166" s="398"/>
      <c r="C166" s="24" t="s">
        <v>500</v>
      </c>
      <c r="D166" s="152" t="s">
        <v>4</v>
      </c>
      <c r="E166" s="152"/>
      <c r="F166" s="157">
        <v>0.7</v>
      </c>
      <c r="G166" s="157">
        <v>0.75</v>
      </c>
      <c r="H166" s="157">
        <v>0.75</v>
      </c>
      <c r="I166" s="152"/>
      <c r="J166" s="152"/>
      <c r="K166" s="298"/>
      <c r="L166" s="446"/>
    </row>
    <row r="167" spans="1:12" ht="12.95" customHeight="1" thickBot="1">
      <c r="A167" s="401"/>
      <c r="B167" s="398"/>
      <c r="C167" s="14" t="s">
        <v>4</v>
      </c>
      <c r="D167" s="126" t="s">
        <v>501</v>
      </c>
      <c r="E167" s="127"/>
      <c r="F167" s="127"/>
      <c r="G167" s="127"/>
      <c r="H167" s="127"/>
      <c r="I167" s="127"/>
      <c r="J167" s="127"/>
      <c r="K167" s="127"/>
      <c r="L167" s="446"/>
    </row>
    <row r="168" spans="1:12" ht="12.95" customHeight="1" thickBot="1">
      <c r="A168" s="401"/>
      <c r="B168" s="399"/>
      <c r="C168" s="16" t="s">
        <v>4</v>
      </c>
      <c r="D168" s="124" t="s">
        <v>236</v>
      </c>
      <c r="E168" s="125"/>
      <c r="F168" s="125"/>
      <c r="G168" s="125"/>
      <c r="H168" s="125"/>
      <c r="I168" s="125"/>
      <c r="J168" s="125"/>
      <c r="K168" s="125"/>
      <c r="L168" s="447"/>
    </row>
    <row r="169" spans="1:12" ht="12.95" thickBot="1">
      <c r="A169" s="401"/>
      <c r="B169" s="15"/>
      <c r="C169" s="16"/>
      <c r="D169" s="16"/>
      <c r="E169" s="16"/>
      <c r="F169" s="16"/>
      <c r="G169" s="16"/>
      <c r="H169" s="16"/>
      <c r="I169" s="16"/>
      <c r="J169" s="16"/>
      <c r="K169" s="16"/>
      <c r="L169" s="14"/>
    </row>
    <row r="170" spans="1:12" ht="12.6" customHeight="1" thickBot="1">
      <c r="A170" s="356" t="s">
        <v>527</v>
      </c>
      <c r="B170" s="22" t="s">
        <v>528</v>
      </c>
      <c r="C170" s="22" t="s">
        <v>4</v>
      </c>
      <c r="D170" s="22" t="s">
        <v>529</v>
      </c>
      <c r="E170" s="22"/>
      <c r="F170" s="22"/>
      <c r="G170" s="22"/>
      <c r="H170" s="22"/>
      <c r="I170" s="22"/>
      <c r="J170" s="22"/>
      <c r="K170" s="22"/>
      <c r="L170" s="145"/>
    </row>
    <row r="171" spans="1:12" ht="12.95" thickBot="1">
      <c r="A171" s="357"/>
      <c r="B171" s="11" t="s">
        <v>4</v>
      </c>
      <c r="C171" s="11" t="s">
        <v>4</v>
      </c>
      <c r="D171" s="11" t="s">
        <v>4</v>
      </c>
      <c r="E171" s="11"/>
      <c r="F171" s="11"/>
      <c r="G171" s="11"/>
      <c r="H171" s="11"/>
      <c r="I171" s="11"/>
      <c r="J171" s="11"/>
      <c r="K171" s="11"/>
      <c r="L171" s="144"/>
    </row>
    <row r="172" spans="1:12" ht="12.95" thickBot="1">
      <c r="A172" s="356" t="s">
        <v>530</v>
      </c>
      <c r="B172" s="22" t="s">
        <v>531</v>
      </c>
      <c r="C172" s="22" t="s">
        <v>4</v>
      </c>
      <c r="D172" s="358" t="s">
        <v>4</v>
      </c>
      <c r="E172" s="359"/>
      <c r="F172" s="359"/>
      <c r="G172" s="359"/>
      <c r="H172" s="359"/>
      <c r="I172" s="359"/>
      <c r="J172" s="359"/>
      <c r="K172" s="359"/>
      <c r="L172" s="360"/>
    </row>
    <row r="173" spans="1:12" ht="12.95" thickBot="1">
      <c r="A173" s="357"/>
      <c r="B173" s="11" t="s">
        <v>4</v>
      </c>
      <c r="C173" s="23" t="s">
        <v>4</v>
      </c>
      <c r="D173" s="361"/>
      <c r="E173" s="362"/>
      <c r="F173" s="362"/>
      <c r="G173" s="362"/>
      <c r="H173" s="362"/>
      <c r="I173" s="362"/>
      <c r="J173" s="362"/>
      <c r="K173" s="362"/>
      <c r="L173" s="363"/>
    </row>
    <row r="174" spans="1:12" ht="12.95" thickBot="1"/>
    <row r="175" spans="1:12" ht="46.5" thickBot="1">
      <c r="A175" s="384" t="s">
        <v>588</v>
      </c>
      <c r="B175" s="7" t="s">
        <v>589</v>
      </c>
      <c r="C175" s="7" t="s">
        <v>4</v>
      </c>
      <c r="D175" s="136" t="s">
        <v>495</v>
      </c>
      <c r="E175" s="136" t="s">
        <v>506</v>
      </c>
      <c r="F175" s="143" t="s">
        <v>507</v>
      </c>
      <c r="G175" s="143" t="s">
        <v>508</v>
      </c>
      <c r="H175" s="162" t="s">
        <v>509</v>
      </c>
      <c r="I175" s="143" t="s">
        <v>510</v>
      </c>
      <c r="J175" s="141" t="s">
        <v>511</v>
      </c>
      <c r="K175" s="296" t="s">
        <v>512</v>
      </c>
      <c r="L175" s="84" t="s">
        <v>496</v>
      </c>
    </row>
    <row r="176" spans="1:12" ht="23.45" customHeight="1" thickBot="1">
      <c r="A176" s="385"/>
      <c r="B176" s="391" t="s">
        <v>299</v>
      </c>
      <c r="C176" s="25" t="s">
        <v>498</v>
      </c>
      <c r="D176" s="93">
        <v>0</v>
      </c>
      <c r="E176" s="151">
        <v>87</v>
      </c>
      <c r="F176" s="93">
        <v>31</v>
      </c>
      <c r="G176" s="93">
        <v>43</v>
      </c>
      <c r="H176" s="93">
        <v>43</v>
      </c>
      <c r="I176" s="93">
        <v>73</v>
      </c>
      <c r="J176" s="93">
        <v>80</v>
      </c>
      <c r="K176" s="93">
        <v>87</v>
      </c>
      <c r="L176" s="325" t="s">
        <v>590</v>
      </c>
    </row>
    <row r="177" spans="1:12" ht="12.95" customHeight="1" thickBot="1">
      <c r="A177" s="385"/>
      <c r="B177" s="392"/>
      <c r="C177" s="24" t="s">
        <v>500</v>
      </c>
      <c r="D177" s="152" t="s">
        <v>4</v>
      </c>
      <c r="E177" s="152"/>
      <c r="F177" s="152">
        <v>31</v>
      </c>
      <c r="G177" s="152">
        <v>43</v>
      </c>
      <c r="H177" s="152">
        <v>43</v>
      </c>
      <c r="I177" s="152"/>
      <c r="J177" s="152"/>
      <c r="K177" s="298"/>
      <c r="L177" s="326"/>
    </row>
    <row r="178" spans="1:12" ht="12.95" customHeight="1" thickBot="1">
      <c r="A178" s="385"/>
      <c r="B178" s="392"/>
      <c r="C178" s="14" t="s">
        <v>4</v>
      </c>
      <c r="D178" s="126" t="s">
        <v>501</v>
      </c>
      <c r="E178" s="127"/>
      <c r="F178" s="127"/>
      <c r="G178" s="127"/>
      <c r="H178" s="127"/>
      <c r="I178" s="127"/>
      <c r="J178" s="127"/>
      <c r="K178" s="127"/>
      <c r="L178" s="326"/>
    </row>
    <row r="179" spans="1:12" ht="12.95" customHeight="1" thickBot="1">
      <c r="A179" s="386"/>
      <c r="B179" s="393"/>
      <c r="C179" s="16" t="s">
        <v>4</v>
      </c>
      <c r="D179" s="124" t="s">
        <v>591</v>
      </c>
      <c r="E179" s="125"/>
      <c r="F179" s="125"/>
      <c r="G179" s="125"/>
      <c r="H179" s="125"/>
      <c r="I179" s="125"/>
      <c r="J179" s="125"/>
      <c r="K179" s="125"/>
      <c r="L179" s="327"/>
    </row>
    <row r="180" spans="1:12" ht="12.95" thickBot="1">
      <c r="A180" s="8" t="s">
        <v>567</v>
      </c>
      <c r="B180" s="15"/>
      <c r="C180" s="16"/>
      <c r="D180" s="16"/>
      <c r="E180" s="16"/>
      <c r="F180" s="16"/>
      <c r="G180" s="16"/>
      <c r="H180" s="16"/>
      <c r="I180" s="16"/>
      <c r="J180" s="16"/>
      <c r="K180" s="16"/>
      <c r="L180" s="14"/>
    </row>
    <row r="181" spans="1:12" ht="12.6" customHeight="1" thickBot="1">
      <c r="A181" s="356" t="s">
        <v>527</v>
      </c>
      <c r="B181" s="22" t="s">
        <v>528</v>
      </c>
      <c r="C181" s="22" t="s">
        <v>4</v>
      </c>
      <c r="D181" s="22" t="s">
        <v>529</v>
      </c>
      <c r="E181" s="22"/>
      <c r="F181" s="22"/>
      <c r="G181" s="22"/>
      <c r="H181" s="22"/>
      <c r="I181" s="22"/>
      <c r="J181" s="22"/>
      <c r="K181" s="22"/>
      <c r="L181" s="145"/>
    </row>
    <row r="182" spans="1:12" ht="12.95" thickBot="1">
      <c r="A182" s="357"/>
      <c r="B182" s="11" t="s">
        <v>4</v>
      </c>
      <c r="C182" s="11" t="s">
        <v>4</v>
      </c>
      <c r="D182" s="11" t="s">
        <v>4</v>
      </c>
      <c r="E182" s="11"/>
      <c r="F182" s="11"/>
      <c r="G182" s="11"/>
      <c r="H182" s="11"/>
      <c r="I182" s="11"/>
      <c r="J182" s="11"/>
      <c r="K182" s="11"/>
      <c r="L182" s="144"/>
    </row>
    <row r="183" spans="1:12" ht="12.95" thickBot="1">
      <c r="A183" s="356" t="s">
        <v>530</v>
      </c>
      <c r="B183" s="22" t="s">
        <v>531</v>
      </c>
      <c r="C183" s="22" t="s">
        <v>4</v>
      </c>
      <c r="D183" s="358" t="s">
        <v>4</v>
      </c>
      <c r="E183" s="359"/>
      <c r="F183" s="359"/>
      <c r="G183" s="359"/>
      <c r="H183" s="359"/>
      <c r="I183" s="359"/>
      <c r="J183" s="359"/>
      <c r="K183" s="359"/>
      <c r="L183" s="360"/>
    </row>
    <row r="184" spans="1:12" ht="12.95" thickBot="1">
      <c r="A184" s="357"/>
      <c r="B184" s="11" t="s">
        <v>4</v>
      </c>
      <c r="C184" s="23" t="s">
        <v>4</v>
      </c>
      <c r="D184" s="361"/>
      <c r="E184" s="362"/>
      <c r="F184" s="362"/>
      <c r="G184" s="362"/>
      <c r="H184" s="362"/>
      <c r="I184" s="362"/>
      <c r="J184" s="362"/>
      <c r="K184" s="362"/>
      <c r="L184" s="363"/>
    </row>
    <row r="185" spans="1:12" ht="12.6"/>
    <row r="186" spans="1:12" ht="12.6"/>
    <row r="187" spans="1:12" ht="12.6"/>
    <row r="188" spans="1:12" ht="12.6"/>
    <row r="189" spans="1:12" ht="12.6"/>
    <row r="190" spans="1:12" ht="12.6"/>
    <row r="191" spans="1:12" ht="12.6"/>
    <row r="192" spans="1:12" ht="12.6"/>
    <row r="193" customFormat="1" ht="12.6"/>
    <row r="194" customFormat="1" ht="12.6"/>
    <row r="195" customFormat="1" ht="12.6"/>
    <row r="196" customFormat="1" ht="12.6"/>
  </sheetData>
  <mergeCells count="94">
    <mergeCell ref="A181:A182"/>
    <mergeCell ref="A183:A184"/>
    <mergeCell ref="D183:L184"/>
    <mergeCell ref="A170:A171"/>
    <mergeCell ref="A172:A173"/>
    <mergeCell ref="D172:L173"/>
    <mergeCell ref="A175:A179"/>
    <mergeCell ref="B176:B179"/>
    <mergeCell ref="L176:L179"/>
    <mergeCell ref="A149:A150"/>
    <mergeCell ref="A151:A152"/>
    <mergeCell ref="D151:L152"/>
    <mergeCell ref="A155:A163"/>
    <mergeCell ref="B155:B158"/>
    <mergeCell ref="L155:L168"/>
    <mergeCell ref="B160:B163"/>
    <mergeCell ref="A165:A169"/>
    <mergeCell ref="B165:B168"/>
    <mergeCell ref="A133:A134"/>
    <mergeCell ref="A135:A136"/>
    <mergeCell ref="D135:L136"/>
    <mergeCell ref="A139:A147"/>
    <mergeCell ref="B139:B142"/>
    <mergeCell ref="L139:L142"/>
    <mergeCell ref="B144:B147"/>
    <mergeCell ref="L144:L147"/>
    <mergeCell ref="A117:A118"/>
    <mergeCell ref="A119:A120"/>
    <mergeCell ref="D119:L120"/>
    <mergeCell ref="A123:A131"/>
    <mergeCell ref="B123:B126"/>
    <mergeCell ref="L123:L131"/>
    <mergeCell ref="B128:B131"/>
    <mergeCell ref="A89:A90"/>
    <mergeCell ref="A91:A92"/>
    <mergeCell ref="D91:L92"/>
    <mergeCell ref="A96:A114"/>
    <mergeCell ref="B96:B99"/>
    <mergeCell ref="L96:L115"/>
    <mergeCell ref="B101:B104"/>
    <mergeCell ref="B106:B109"/>
    <mergeCell ref="B111:B114"/>
    <mergeCell ref="A64:A87"/>
    <mergeCell ref="B64:B66"/>
    <mergeCell ref="L64:L67"/>
    <mergeCell ref="B69:B72"/>
    <mergeCell ref="L69:L72"/>
    <mergeCell ref="B74:B77"/>
    <mergeCell ref="L74:L77"/>
    <mergeCell ref="B79:B81"/>
    <mergeCell ref="L79:L82"/>
    <mergeCell ref="B84:B86"/>
    <mergeCell ref="L84:L87"/>
    <mergeCell ref="L54:L57"/>
    <mergeCell ref="D56:K56"/>
    <mergeCell ref="D57:K57"/>
    <mergeCell ref="A60:A61"/>
    <mergeCell ref="D60:L61"/>
    <mergeCell ref="A58:A59"/>
    <mergeCell ref="B44:B47"/>
    <mergeCell ref="D46:K46"/>
    <mergeCell ref="D47:K47"/>
    <mergeCell ref="B49:B52"/>
    <mergeCell ref="D51:K51"/>
    <mergeCell ref="D52:K52"/>
    <mergeCell ref="A54:A57"/>
    <mergeCell ref="B54:B57"/>
    <mergeCell ref="A24:A52"/>
    <mergeCell ref="B24:B27"/>
    <mergeCell ref="D32:K32"/>
    <mergeCell ref="B34:B37"/>
    <mergeCell ref="D36:K36"/>
    <mergeCell ref="D37:K37"/>
    <mergeCell ref="B39:B42"/>
    <mergeCell ref="D41:K41"/>
    <mergeCell ref="D42:K42"/>
    <mergeCell ref="L24:L52"/>
    <mergeCell ref="D26:K26"/>
    <mergeCell ref="D27:K27"/>
    <mergeCell ref="B29:B32"/>
    <mergeCell ref="D31:K31"/>
    <mergeCell ref="A3:L3"/>
    <mergeCell ref="B5:L5"/>
    <mergeCell ref="A7:A20"/>
    <mergeCell ref="B7:B10"/>
    <mergeCell ref="L7:L20"/>
    <mergeCell ref="D9:K9"/>
    <mergeCell ref="D10:K10"/>
    <mergeCell ref="B12:B15"/>
    <mergeCell ref="D14:K14"/>
    <mergeCell ref="D15:K15"/>
    <mergeCell ref="B17:B20"/>
    <mergeCell ref="D19:K19"/>
    <mergeCell ref="D20:K20"/>
  </mergeCells>
  <hyperlinks>
    <hyperlink ref="A1" location="'Guidance Notes'!A1" display="Please refer to the Guidance Notes tab for advice on completing the various fields in the logframe." xr:uid="{04429E0A-6179-490C-809B-41D3E2DBE7BE}"/>
    <hyperlink ref="A2" r:id="rId1" xr:uid="{0B9465BB-37ED-4FA2-8BFB-6950A564D271}"/>
  </hyperlinks>
  <pageMargins left="0.7" right="0.7" top="0.75" bottom="0.75" header="0.3" footer="0.3"/>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2205-27A9-4E96-9439-D7F17EC0D728}">
  <dimension ref="A2:K46"/>
  <sheetViews>
    <sheetView workbookViewId="0">
      <pane xSplit="1" ySplit="2" topLeftCell="B22" activePane="bottomRight" state="frozen"/>
      <selection pane="bottomRight" activeCell="B26" sqref="B26"/>
      <selection pane="bottomLeft"/>
      <selection pane="topRight"/>
    </sheetView>
  </sheetViews>
  <sheetFormatPr defaultColWidth="19.140625" defaultRowHeight="12"/>
  <cols>
    <col min="1" max="1" width="19.140625" style="100"/>
    <col min="2" max="2" width="69.140625" style="100" bestFit="1" customWidth="1"/>
    <col min="3" max="5" width="45" style="100" customWidth="1"/>
    <col min="6" max="6" width="65.7109375" style="100" customWidth="1"/>
    <col min="7" max="16384" width="19.140625" style="100"/>
  </cols>
  <sheetData>
    <row r="2" spans="1:11" ht="24" customHeight="1">
      <c r="A2" s="101" t="s">
        <v>169</v>
      </c>
      <c r="B2" s="101" t="s">
        <v>170</v>
      </c>
      <c r="C2" s="101" t="s">
        <v>171</v>
      </c>
      <c r="D2" s="101" t="s">
        <v>172</v>
      </c>
      <c r="E2" s="102" t="s">
        <v>173</v>
      </c>
      <c r="F2" s="103" t="s">
        <v>174</v>
      </c>
      <c r="G2" s="103" t="s">
        <v>175</v>
      </c>
      <c r="H2" s="418" t="s">
        <v>176</v>
      </c>
    </row>
    <row r="3" spans="1:11">
      <c r="A3" s="101"/>
      <c r="B3" s="186" t="s">
        <v>177</v>
      </c>
      <c r="C3" s="101"/>
      <c r="D3" s="101"/>
      <c r="E3" s="101"/>
      <c r="F3" s="101"/>
      <c r="G3" s="103"/>
      <c r="H3" s="419"/>
    </row>
    <row r="4" spans="1:11" ht="23.1">
      <c r="A4" s="95" t="s">
        <v>178</v>
      </c>
      <c r="B4" s="104" t="s">
        <v>179</v>
      </c>
      <c r="C4" s="106" t="s">
        <v>180</v>
      </c>
      <c r="D4" s="106" t="s">
        <v>181</v>
      </c>
      <c r="E4" s="106" t="s">
        <v>182</v>
      </c>
      <c r="F4" s="104" t="s">
        <v>183</v>
      </c>
      <c r="G4" s="113" t="s">
        <v>184</v>
      </c>
      <c r="H4" s="114"/>
    </row>
    <row r="5" spans="1:11" ht="34.5">
      <c r="A5" s="96" t="s">
        <v>185</v>
      </c>
      <c r="B5" s="104" t="s">
        <v>186</v>
      </c>
      <c r="C5" s="106" t="s">
        <v>187</v>
      </c>
      <c r="D5" s="106" t="s">
        <v>188</v>
      </c>
      <c r="E5" s="106" t="s">
        <v>189</v>
      </c>
      <c r="F5" s="104" t="s">
        <v>190</v>
      </c>
      <c r="G5" s="113" t="s">
        <v>184</v>
      </c>
      <c r="H5" s="114"/>
    </row>
    <row r="6" spans="1:11" ht="45.95">
      <c r="A6" s="96" t="s">
        <v>191</v>
      </c>
      <c r="B6" s="104" t="s">
        <v>192</v>
      </c>
      <c r="C6" s="106" t="s">
        <v>193</v>
      </c>
      <c r="D6" s="106" t="s">
        <v>194</v>
      </c>
      <c r="E6" s="106" t="s">
        <v>195</v>
      </c>
      <c r="F6" s="107" t="s">
        <v>196</v>
      </c>
      <c r="G6" s="113" t="s">
        <v>197</v>
      </c>
      <c r="H6" s="114"/>
    </row>
    <row r="7" spans="1:11">
      <c r="A7" s="97"/>
      <c r="B7" s="420" t="s">
        <v>198</v>
      </c>
      <c r="C7" s="420"/>
      <c r="D7" s="420"/>
      <c r="E7" s="420"/>
      <c r="F7" s="108"/>
      <c r="G7" s="105"/>
    </row>
    <row r="8" spans="1:11" ht="34.5">
      <c r="A8" s="96" t="s">
        <v>199</v>
      </c>
      <c r="B8" s="104" t="s">
        <v>200</v>
      </c>
      <c r="C8" s="106" t="s">
        <v>201</v>
      </c>
      <c r="D8" s="106" t="s">
        <v>202</v>
      </c>
      <c r="E8" s="106" t="s">
        <v>203</v>
      </c>
      <c r="F8" s="104" t="s">
        <v>204</v>
      </c>
      <c r="G8" s="105" t="s">
        <v>184</v>
      </c>
      <c r="H8" s="109" t="s">
        <v>205</v>
      </c>
    </row>
    <row r="9" spans="1:11" ht="69">
      <c r="A9" s="96" t="s">
        <v>206</v>
      </c>
      <c r="B9" s="106" t="s">
        <v>592</v>
      </c>
      <c r="C9" s="106" t="s">
        <v>593</v>
      </c>
      <c r="D9" s="106" t="s">
        <v>209</v>
      </c>
      <c r="E9" s="106" t="s">
        <v>210</v>
      </c>
      <c r="F9" s="104" t="s">
        <v>211</v>
      </c>
      <c r="G9" s="105" t="s">
        <v>184</v>
      </c>
      <c r="H9" s="109" t="s">
        <v>205</v>
      </c>
    </row>
    <row r="10" spans="1:11" ht="34.5">
      <c r="A10" s="96" t="s">
        <v>212</v>
      </c>
      <c r="B10" s="106" t="s">
        <v>594</v>
      </c>
      <c r="C10" s="106" t="s">
        <v>214</v>
      </c>
      <c r="D10" s="187" t="s">
        <v>215</v>
      </c>
      <c r="E10" s="187" t="s">
        <v>216</v>
      </c>
      <c r="F10" s="104" t="s">
        <v>217</v>
      </c>
      <c r="G10" s="105" t="s">
        <v>184</v>
      </c>
      <c r="H10" s="109" t="s">
        <v>205</v>
      </c>
    </row>
    <row r="11" spans="1:11" ht="34.5">
      <c r="A11" s="96" t="s">
        <v>218</v>
      </c>
      <c r="B11" s="106" t="s">
        <v>595</v>
      </c>
      <c r="C11" s="106" t="s">
        <v>220</v>
      </c>
      <c r="D11" s="106" t="s">
        <v>221</v>
      </c>
      <c r="E11" s="106" t="s">
        <v>222</v>
      </c>
      <c r="F11" s="104" t="s">
        <v>223</v>
      </c>
      <c r="G11" s="105" t="s">
        <v>184</v>
      </c>
      <c r="H11" s="109" t="s">
        <v>205</v>
      </c>
      <c r="K11" s="104"/>
    </row>
    <row r="12" spans="1:11" ht="45.95">
      <c r="A12" s="96" t="s">
        <v>191</v>
      </c>
      <c r="B12" s="188" t="s">
        <v>224</v>
      </c>
      <c r="C12" s="188" t="s">
        <v>193</v>
      </c>
      <c r="D12" s="188" t="s">
        <v>194</v>
      </c>
      <c r="E12" s="188" t="s">
        <v>195</v>
      </c>
      <c r="F12" s="188" t="s">
        <v>196</v>
      </c>
      <c r="G12" s="105"/>
      <c r="H12" s="109" t="s">
        <v>205</v>
      </c>
      <c r="K12" s="110"/>
    </row>
    <row r="13" spans="1:11" ht="92.1">
      <c r="A13" s="97" t="s">
        <v>225</v>
      </c>
      <c r="B13" s="106" t="s">
        <v>596</v>
      </c>
      <c r="C13" s="106" t="s">
        <v>227</v>
      </c>
      <c r="D13" s="106" t="s">
        <v>228</v>
      </c>
      <c r="E13" s="106" t="s">
        <v>229</v>
      </c>
      <c r="F13" s="106" t="s">
        <v>230</v>
      </c>
      <c r="G13" s="105" t="s">
        <v>184</v>
      </c>
      <c r="H13" s="109" t="s">
        <v>205</v>
      </c>
    </row>
    <row r="14" spans="1:11">
      <c r="A14" s="97"/>
      <c r="B14" s="420" t="s">
        <v>231</v>
      </c>
      <c r="C14" s="420"/>
      <c r="D14" s="420"/>
      <c r="E14" s="420"/>
      <c r="F14" s="111"/>
      <c r="G14" s="105"/>
    </row>
    <row r="15" spans="1:11" ht="45.95">
      <c r="A15" s="128"/>
      <c r="B15" s="120" t="s">
        <v>597</v>
      </c>
      <c r="C15" s="120"/>
      <c r="D15" s="120" t="s">
        <v>233</v>
      </c>
      <c r="E15" s="120"/>
      <c r="F15" s="120" t="s">
        <v>235</v>
      </c>
      <c r="G15" s="129" t="s">
        <v>236</v>
      </c>
      <c r="H15" s="114"/>
    </row>
    <row r="16" spans="1:11">
      <c r="A16" s="96"/>
      <c r="B16" s="105"/>
      <c r="C16" s="105"/>
      <c r="D16" s="105"/>
      <c r="E16" s="105"/>
      <c r="F16" s="108"/>
      <c r="G16" s="105"/>
    </row>
    <row r="17" spans="1:8">
      <c r="A17" s="96"/>
      <c r="B17" s="417" t="s">
        <v>237</v>
      </c>
      <c r="C17" s="417"/>
      <c r="D17" s="417"/>
      <c r="E17" s="417"/>
      <c r="F17" s="108"/>
      <c r="G17" s="105"/>
    </row>
    <row r="18" spans="1:8" ht="23.1">
      <c r="A18" s="96" t="s">
        <v>199</v>
      </c>
      <c r="B18" s="106" t="s">
        <v>238</v>
      </c>
      <c r="C18" s="105"/>
      <c r="D18" s="106" t="s">
        <v>238</v>
      </c>
      <c r="E18" s="106"/>
      <c r="F18" s="108"/>
      <c r="G18" s="105" t="s">
        <v>184</v>
      </c>
      <c r="H18" s="109" t="s">
        <v>205</v>
      </c>
    </row>
    <row r="19" spans="1:8" ht="34.5">
      <c r="A19" s="96" t="s">
        <v>206</v>
      </c>
      <c r="B19" s="106" t="s">
        <v>598</v>
      </c>
      <c r="C19" s="106"/>
      <c r="D19" s="106" t="s">
        <v>599</v>
      </c>
      <c r="E19" s="106"/>
      <c r="F19" s="108"/>
      <c r="G19" s="105" t="s">
        <v>184</v>
      </c>
      <c r="H19" s="109" t="s">
        <v>205</v>
      </c>
    </row>
    <row r="20" spans="1:8" ht="34.5">
      <c r="A20" s="96" t="s">
        <v>212</v>
      </c>
      <c r="B20" s="106" t="s">
        <v>600</v>
      </c>
      <c r="C20" s="106" t="s">
        <v>242</v>
      </c>
      <c r="D20" s="106"/>
      <c r="E20" s="112"/>
      <c r="F20" s="108"/>
      <c r="G20" s="105" t="s">
        <v>184</v>
      </c>
      <c r="H20" s="109" t="s">
        <v>205</v>
      </c>
    </row>
    <row r="21" spans="1:8" ht="23.1">
      <c r="A21" s="96" t="s">
        <v>243</v>
      </c>
      <c r="B21" s="106" t="s">
        <v>244</v>
      </c>
      <c r="C21" s="106" t="s">
        <v>245</v>
      </c>
      <c r="D21" s="106" t="s">
        <v>246</v>
      </c>
      <c r="E21" s="105"/>
      <c r="F21" s="108"/>
      <c r="G21" s="105" t="s">
        <v>184</v>
      </c>
      <c r="H21" s="109" t="s">
        <v>205</v>
      </c>
    </row>
    <row r="22" spans="1:8" ht="45.95">
      <c r="A22" s="96" t="s">
        <v>247</v>
      </c>
      <c r="B22" s="106" t="s">
        <v>248</v>
      </c>
      <c r="C22" s="105"/>
      <c r="D22" s="105"/>
      <c r="E22" s="105"/>
      <c r="F22" s="108"/>
      <c r="G22" s="106" t="s">
        <v>236</v>
      </c>
      <c r="H22" s="109" t="s">
        <v>205</v>
      </c>
    </row>
    <row r="23" spans="1:8">
      <c r="A23" s="98"/>
      <c r="B23" s="417" t="s">
        <v>250</v>
      </c>
      <c r="C23" s="417"/>
      <c r="D23" s="417"/>
      <c r="E23" s="417"/>
      <c r="F23" s="108"/>
      <c r="G23" s="105"/>
      <c r="H23" s="109"/>
    </row>
    <row r="24" spans="1:8" ht="34.5">
      <c r="A24" s="96" t="s">
        <v>251</v>
      </c>
      <c r="B24" s="106" t="s">
        <v>601</v>
      </c>
      <c r="C24" s="106" t="s">
        <v>253</v>
      </c>
      <c r="D24" s="106" t="s">
        <v>254</v>
      </c>
      <c r="E24" s="106" t="s">
        <v>255</v>
      </c>
      <c r="F24" s="106" t="s">
        <v>256</v>
      </c>
      <c r="G24" s="105" t="s">
        <v>184</v>
      </c>
      <c r="H24" s="109" t="s">
        <v>205</v>
      </c>
    </row>
    <row r="25" spans="1:8" ht="23.1">
      <c r="A25" s="96" t="s">
        <v>191</v>
      </c>
      <c r="B25" s="106" t="s">
        <v>257</v>
      </c>
      <c r="C25" s="106"/>
      <c r="D25" s="106" t="s">
        <v>258</v>
      </c>
      <c r="E25" s="106"/>
      <c r="F25" s="106"/>
      <c r="G25" s="105" t="s">
        <v>197</v>
      </c>
      <c r="H25" s="109" t="s">
        <v>205</v>
      </c>
    </row>
    <row r="26" spans="1:8" ht="34.5">
      <c r="A26" s="417" t="s">
        <v>259</v>
      </c>
      <c r="B26" s="106" t="s">
        <v>602</v>
      </c>
      <c r="C26" s="106"/>
      <c r="D26" s="106" t="s">
        <v>261</v>
      </c>
      <c r="E26" s="105"/>
      <c r="F26" s="108"/>
      <c r="G26" s="105" t="s">
        <v>184</v>
      </c>
      <c r="H26" s="109" t="s">
        <v>205</v>
      </c>
    </row>
    <row r="27" spans="1:8" ht="23.1">
      <c r="A27" s="417"/>
      <c r="B27" s="106" t="s">
        <v>262</v>
      </c>
      <c r="C27" s="106"/>
      <c r="D27" s="106" t="s">
        <v>263</v>
      </c>
      <c r="E27" s="105"/>
      <c r="F27" s="108"/>
      <c r="G27" s="105" t="s">
        <v>184</v>
      </c>
      <c r="H27" s="109" t="s">
        <v>205</v>
      </c>
    </row>
    <row r="28" spans="1:8">
      <c r="A28" s="99"/>
      <c r="B28" s="417" t="s">
        <v>264</v>
      </c>
      <c r="C28" s="417"/>
      <c r="D28" s="417"/>
      <c r="E28" s="417"/>
      <c r="F28" s="108"/>
      <c r="G28" s="105"/>
      <c r="H28" s="109"/>
    </row>
    <row r="29" spans="1:8" ht="92.1">
      <c r="A29" s="97" t="s">
        <v>225</v>
      </c>
      <c r="B29" s="106" t="s">
        <v>265</v>
      </c>
      <c r="C29" s="106"/>
      <c r="D29" s="106" t="s">
        <v>266</v>
      </c>
      <c r="E29" s="106"/>
      <c r="F29" s="108"/>
      <c r="G29" s="105" t="s">
        <v>184</v>
      </c>
      <c r="H29" s="109" t="s">
        <v>205</v>
      </c>
    </row>
    <row r="30" spans="1:8" ht="45.95">
      <c r="A30" s="97" t="s">
        <v>267</v>
      </c>
      <c r="B30" s="106" t="s">
        <v>603</v>
      </c>
      <c r="C30" s="106"/>
      <c r="D30" s="106" t="s">
        <v>270</v>
      </c>
      <c r="E30" s="106" t="s">
        <v>271</v>
      </c>
      <c r="F30" s="106" t="s">
        <v>272</v>
      </c>
      <c r="G30" s="106" t="s">
        <v>273</v>
      </c>
      <c r="H30" s="109" t="s">
        <v>205</v>
      </c>
    </row>
    <row r="31" spans="1:8" ht="45.95">
      <c r="A31" s="97" t="s">
        <v>247</v>
      </c>
      <c r="B31" s="106" t="s">
        <v>274</v>
      </c>
      <c r="C31" s="105"/>
      <c r="D31" s="105"/>
      <c r="E31" s="105"/>
      <c r="F31" s="108"/>
      <c r="G31" s="106" t="s">
        <v>236</v>
      </c>
      <c r="H31" s="109" t="s">
        <v>205</v>
      </c>
    </row>
    <row r="32" spans="1:8">
      <c r="A32" s="97"/>
      <c r="B32" s="420" t="s">
        <v>276</v>
      </c>
      <c r="C32" s="420"/>
      <c r="D32" s="420"/>
      <c r="E32" s="420"/>
      <c r="F32" s="108"/>
      <c r="G32" s="105"/>
      <c r="H32" s="109"/>
    </row>
    <row r="33" spans="1:8" ht="35.25" customHeight="1">
      <c r="A33" s="97" t="s">
        <v>277</v>
      </c>
      <c r="B33" s="106" t="s">
        <v>278</v>
      </c>
      <c r="C33" s="106"/>
      <c r="D33" s="106" t="s">
        <v>278</v>
      </c>
      <c r="E33" s="106"/>
      <c r="F33" s="108"/>
      <c r="G33" s="105" t="s">
        <v>197</v>
      </c>
      <c r="H33" s="109" t="s">
        <v>205</v>
      </c>
    </row>
    <row r="34" spans="1:8" ht="57.6">
      <c r="A34" s="96" t="s">
        <v>206</v>
      </c>
      <c r="B34" s="120" t="s">
        <v>279</v>
      </c>
      <c r="C34" s="105"/>
      <c r="D34" s="105"/>
      <c r="E34" s="105"/>
      <c r="F34" s="108"/>
      <c r="G34" s="106" t="s">
        <v>284</v>
      </c>
      <c r="H34" s="109" t="s">
        <v>205</v>
      </c>
    </row>
    <row r="35" spans="1:8">
      <c r="A35" s="99"/>
      <c r="B35" s="420" t="s">
        <v>285</v>
      </c>
      <c r="C35" s="420"/>
      <c r="D35" s="420"/>
      <c r="E35" s="420"/>
      <c r="F35" s="108"/>
      <c r="G35" s="105"/>
      <c r="H35" s="109"/>
    </row>
    <row r="36" spans="1:8" ht="45.95">
      <c r="A36" s="97" t="s">
        <v>286</v>
      </c>
      <c r="B36" s="106" t="s">
        <v>287</v>
      </c>
      <c r="C36" s="105"/>
      <c r="D36" s="106" t="s">
        <v>288</v>
      </c>
      <c r="E36" s="106" t="s">
        <v>289</v>
      </c>
      <c r="F36" s="106" t="s">
        <v>290</v>
      </c>
      <c r="G36" s="105" t="s">
        <v>184</v>
      </c>
      <c r="H36" s="109" t="s">
        <v>205</v>
      </c>
    </row>
    <row r="37" spans="1:8" ht="45.95">
      <c r="A37" s="420" t="s">
        <v>291</v>
      </c>
      <c r="B37" s="106" t="s">
        <v>292</v>
      </c>
      <c r="C37" s="105"/>
      <c r="D37" s="106"/>
      <c r="E37" s="106"/>
      <c r="F37" s="108"/>
      <c r="G37" s="106" t="s">
        <v>236</v>
      </c>
      <c r="H37" s="109" t="s">
        <v>205</v>
      </c>
    </row>
    <row r="38" spans="1:8" ht="45.95">
      <c r="A38" s="420"/>
      <c r="B38" s="106" t="s">
        <v>293</v>
      </c>
      <c r="C38" s="105"/>
      <c r="D38" s="106" t="s">
        <v>294</v>
      </c>
      <c r="E38" s="106" t="s">
        <v>295</v>
      </c>
      <c r="F38" s="106" t="s">
        <v>296</v>
      </c>
      <c r="G38" s="106" t="s">
        <v>236</v>
      </c>
      <c r="H38" s="109" t="s">
        <v>205</v>
      </c>
    </row>
    <row r="39" spans="1:8">
      <c r="A39" s="99"/>
      <c r="B39" s="420" t="s">
        <v>297</v>
      </c>
      <c r="C39" s="420"/>
      <c r="D39" s="420"/>
      <c r="E39" s="420"/>
      <c r="F39" s="108"/>
      <c r="G39" s="105"/>
    </row>
    <row r="40" spans="1:8" ht="29.1">
      <c r="A40" s="99" t="s">
        <v>604</v>
      </c>
      <c r="B40" s="131" t="s">
        <v>605</v>
      </c>
      <c r="C40" s="105"/>
      <c r="D40" s="105"/>
      <c r="E40" s="105"/>
      <c r="F40" s="108"/>
      <c r="G40" s="113"/>
      <c r="H40" s="114"/>
    </row>
    <row r="41" spans="1:8" ht="32.25" customHeight="1">
      <c r="A41" s="99" t="s">
        <v>606</v>
      </c>
      <c r="B41" s="106" t="s">
        <v>299</v>
      </c>
      <c r="C41" s="105"/>
      <c r="D41" s="105"/>
      <c r="E41" s="105"/>
      <c r="F41" s="108"/>
      <c r="G41" s="113"/>
      <c r="H41" s="114"/>
    </row>
    <row r="42" spans="1:8">
      <c r="A42" s="99"/>
      <c r="B42" s="105"/>
      <c r="C42" s="105"/>
      <c r="D42" s="105"/>
      <c r="E42" s="105"/>
      <c r="F42" s="108"/>
      <c r="G42" s="105"/>
    </row>
    <row r="44" spans="1:8" ht="33.75" customHeight="1">
      <c r="B44" s="106"/>
      <c r="C44" s="115"/>
      <c r="D44" s="115"/>
      <c r="E44" s="115"/>
      <c r="F44" s="115"/>
      <c r="G44" s="116"/>
      <c r="H44" s="114"/>
    </row>
    <row r="45" spans="1:8" ht="30.75" customHeight="1">
      <c r="B45" s="106"/>
      <c r="C45" s="115"/>
      <c r="D45" s="115"/>
      <c r="E45" s="115"/>
      <c r="F45" s="115"/>
      <c r="G45" s="116"/>
      <c r="H45" s="114"/>
    </row>
    <row r="46" spans="1:8" ht="36" customHeight="1">
      <c r="B46" s="106"/>
      <c r="C46" s="115"/>
      <c r="D46" s="115"/>
      <c r="E46" s="115"/>
      <c r="F46" s="115"/>
      <c r="G46" s="116"/>
      <c r="H46" s="114"/>
    </row>
  </sheetData>
  <mergeCells count="11">
    <mergeCell ref="A26:A27"/>
    <mergeCell ref="H2:H3"/>
    <mergeCell ref="B7:E7"/>
    <mergeCell ref="B14:E14"/>
    <mergeCell ref="B17:E17"/>
    <mergeCell ref="B23:E23"/>
    <mergeCell ref="B28:E28"/>
    <mergeCell ref="B32:E32"/>
    <mergeCell ref="B35:E35"/>
    <mergeCell ref="A37:A38"/>
    <mergeCell ref="B39:E39"/>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topLeftCell="A11" workbookViewId="0">
      <selection activeCell="B36" sqref="B36"/>
    </sheetView>
  </sheetViews>
  <sheetFormatPr defaultRowHeight="12.6"/>
  <cols>
    <col min="1" max="1" width="5.28515625" style="1" customWidth="1"/>
    <col min="2" max="2" width="52.42578125" style="1" customWidth="1"/>
    <col min="3" max="3" width="57.5703125" style="3" customWidth="1"/>
    <col min="4" max="5" width="16.7109375" customWidth="1"/>
  </cols>
  <sheetData>
    <row r="1" spans="1:5" ht="25.5" customHeight="1">
      <c r="A1" s="421" t="s">
        <v>301</v>
      </c>
      <c r="B1" s="421"/>
      <c r="C1" s="421"/>
      <c r="D1" s="421"/>
      <c r="E1" s="421"/>
    </row>
    <row r="2" spans="1:5">
      <c r="A2"/>
      <c r="B2"/>
    </row>
    <row r="3" spans="1:5" ht="12.95">
      <c r="A3" s="28" t="s">
        <v>302</v>
      </c>
      <c r="B3" s="29" t="s">
        <v>303</v>
      </c>
      <c r="C3" s="30" t="s">
        <v>304</v>
      </c>
      <c r="D3" s="29" t="s">
        <v>305</v>
      </c>
      <c r="E3" s="29" t="s">
        <v>306</v>
      </c>
    </row>
    <row r="4" spans="1:5" s="2" customFormat="1" ht="12.95">
      <c r="A4" s="31"/>
      <c r="B4" s="77" t="s">
        <v>307</v>
      </c>
      <c r="C4" s="33"/>
      <c r="D4" s="32"/>
      <c r="E4" s="34"/>
    </row>
    <row r="5" spans="1:5" ht="14.45">
      <c r="A5" s="35">
        <v>1</v>
      </c>
      <c r="B5" s="51" t="s">
        <v>308</v>
      </c>
      <c r="C5" s="52" t="s">
        <v>309</v>
      </c>
      <c r="D5" s="36" t="s">
        <v>4</v>
      </c>
      <c r="E5" s="36" t="s">
        <v>4</v>
      </c>
    </row>
    <row r="6" spans="1:5">
      <c r="A6" s="35">
        <v>2</v>
      </c>
      <c r="B6" s="52" t="s">
        <v>310</v>
      </c>
      <c r="C6" s="52" t="s">
        <v>309</v>
      </c>
      <c r="D6" s="36" t="s">
        <v>4</v>
      </c>
      <c r="E6" s="36" t="s">
        <v>4</v>
      </c>
    </row>
    <row r="7" spans="1:5" ht="14.45">
      <c r="A7" s="35">
        <v>3</v>
      </c>
      <c r="B7" s="51" t="s">
        <v>311</v>
      </c>
      <c r="C7" s="52" t="s">
        <v>309</v>
      </c>
      <c r="D7" s="36" t="s">
        <v>4</v>
      </c>
      <c r="E7" s="36" t="s">
        <v>4</v>
      </c>
    </row>
    <row r="8" spans="1:5" s="2" customFormat="1" ht="13.5" thickBot="1">
      <c r="A8" s="31"/>
      <c r="B8" s="78" t="s">
        <v>312</v>
      </c>
      <c r="C8" s="53"/>
      <c r="D8" s="32"/>
      <c r="E8" s="34"/>
    </row>
    <row r="9" spans="1:5" s="2" customFormat="1" ht="374.25" customHeight="1" thickBot="1">
      <c r="A9" s="55"/>
      <c r="B9" s="56" t="s">
        <v>313</v>
      </c>
      <c r="C9" s="54" t="s">
        <v>314</v>
      </c>
      <c r="D9" s="32" t="s">
        <v>315</v>
      </c>
      <c r="E9" s="34">
        <v>45518</v>
      </c>
    </row>
    <row r="10" spans="1:5" ht="99.95">
      <c r="A10" s="35">
        <v>4</v>
      </c>
      <c r="B10" s="49" t="s">
        <v>316</v>
      </c>
      <c r="C10" s="49" t="s">
        <v>317</v>
      </c>
      <c r="D10" s="50" t="s">
        <v>315</v>
      </c>
      <c r="E10" s="57">
        <v>45518</v>
      </c>
    </row>
    <row r="11" spans="1:5" ht="187.5">
      <c r="A11" s="35">
        <v>5</v>
      </c>
      <c r="B11" s="51" t="s">
        <v>318</v>
      </c>
      <c r="C11" s="58" t="s">
        <v>319</v>
      </c>
      <c r="D11" s="50" t="s">
        <v>315</v>
      </c>
      <c r="E11" s="57">
        <v>45518</v>
      </c>
    </row>
    <row r="12" spans="1:5" ht="62.45">
      <c r="A12" s="35">
        <v>6</v>
      </c>
      <c r="B12" s="60" t="s">
        <v>320</v>
      </c>
      <c r="C12" s="59" t="s">
        <v>321</v>
      </c>
      <c r="D12" s="50" t="s">
        <v>315</v>
      </c>
      <c r="E12" s="57">
        <v>45518</v>
      </c>
    </row>
    <row r="13" spans="1:5" ht="112.5">
      <c r="A13" s="35">
        <v>7</v>
      </c>
      <c r="B13" s="60" t="s">
        <v>322</v>
      </c>
      <c r="C13" s="61" t="s">
        <v>323</v>
      </c>
      <c r="D13" s="62" t="s">
        <v>315</v>
      </c>
      <c r="E13" s="63">
        <v>45518</v>
      </c>
    </row>
    <row r="14" spans="1:5" ht="87.6">
      <c r="A14" s="35">
        <v>8</v>
      </c>
      <c r="B14" s="60" t="s">
        <v>324</v>
      </c>
      <c r="C14" s="64" t="s">
        <v>325</v>
      </c>
      <c r="D14" s="62" t="s">
        <v>315</v>
      </c>
      <c r="E14" s="63">
        <v>45518</v>
      </c>
    </row>
    <row r="15" spans="1:5" ht="99.95">
      <c r="A15" s="35">
        <v>9</v>
      </c>
      <c r="B15" s="65" t="s">
        <v>326</v>
      </c>
      <c r="C15" s="66" t="s">
        <v>327</v>
      </c>
      <c r="D15" s="67" t="s">
        <v>315</v>
      </c>
      <c r="E15" s="68">
        <v>45518</v>
      </c>
    </row>
    <row r="16" spans="1:5" ht="62.45">
      <c r="A16" s="35">
        <v>10</v>
      </c>
      <c r="B16" s="69" t="s">
        <v>328</v>
      </c>
      <c r="C16" s="59" t="s">
        <v>607</v>
      </c>
      <c r="D16" s="70" t="s">
        <v>315</v>
      </c>
      <c r="E16" s="71">
        <v>45518</v>
      </c>
    </row>
    <row r="17" spans="2:5" ht="50.1">
      <c r="B17" s="75" t="s">
        <v>237</v>
      </c>
      <c r="C17" s="74" t="s">
        <v>330</v>
      </c>
      <c r="D17" s="62" t="s">
        <v>315</v>
      </c>
      <c r="E17" s="71">
        <v>45518</v>
      </c>
    </row>
    <row r="18" spans="2:5" ht="37.5">
      <c r="B18" s="73" t="s">
        <v>331</v>
      </c>
      <c r="C18" s="52" t="s">
        <v>332</v>
      </c>
      <c r="D18" s="62" t="s">
        <v>315</v>
      </c>
      <c r="E18" s="71">
        <v>45518</v>
      </c>
    </row>
    <row r="19" spans="2:5" ht="62.45">
      <c r="B19" s="60" t="s">
        <v>333</v>
      </c>
      <c r="C19" s="52" t="s">
        <v>334</v>
      </c>
      <c r="D19" s="62" t="s">
        <v>315</v>
      </c>
      <c r="E19" s="71">
        <v>45518</v>
      </c>
    </row>
    <row r="20" spans="2:5" ht="43.5">
      <c r="B20" s="60" t="s">
        <v>335</v>
      </c>
      <c r="C20" s="52" t="s">
        <v>309</v>
      </c>
      <c r="D20" s="62" t="s">
        <v>315</v>
      </c>
      <c r="E20" s="71">
        <v>45518</v>
      </c>
    </row>
    <row r="21" spans="2:5" ht="29.1">
      <c r="B21" s="60" t="s">
        <v>336</v>
      </c>
      <c r="C21" s="52" t="s">
        <v>309</v>
      </c>
      <c r="D21" s="62" t="s">
        <v>315</v>
      </c>
      <c r="E21" s="71">
        <v>45518</v>
      </c>
    </row>
    <row r="22" spans="2:5" ht="57.95">
      <c r="B22" s="60" t="s">
        <v>337</v>
      </c>
      <c r="C22" s="52" t="s">
        <v>338</v>
      </c>
      <c r="D22" s="62" t="s">
        <v>315</v>
      </c>
      <c r="E22" s="71">
        <v>45518</v>
      </c>
    </row>
    <row r="23" spans="2:5" ht="150.94999999999999">
      <c r="B23" s="76" t="s">
        <v>250</v>
      </c>
      <c r="C23" s="52" t="s">
        <v>339</v>
      </c>
      <c r="D23" s="62" t="s">
        <v>315</v>
      </c>
      <c r="E23" s="71">
        <v>45518</v>
      </c>
    </row>
    <row r="24" spans="2:5" ht="43.5">
      <c r="B24" s="51" t="s">
        <v>340</v>
      </c>
      <c r="C24" s="52" t="s">
        <v>309</v>
      </c>
      <c r="D24" s="62" t="s">
        <v>315</v>
      </c>
      <c r="E24" s="71">
        <v>45518</v>
      </c>
    </row>
    <row r="25" spans="2:5" ht="26.1" customHeight="1">
      <c r="B25" s="422" t="s">
        <v>341</v>
      </c>
      <c r="C25" s="423" t="s">
        <v>309</v>
      </c>
      <c r="D25" s="425" t="s">
        <v>315</v>
      </c>
      <c r="E25" s="71">
        <v>45518</v>
      </c>
    </row>
    <row r="26" spans="2:5">
      <c r="B26" s="422"/>
      <c r="C26" s="424"/>
      <c r="D26" s="426"/>
      <c r="E26" s="71">
        <v>45518</v>
      </c>
    </row>
    <row r="27" spans="2:5" ht="50.1">
      <c r="B27" s="60" t="s">
        <v>342</v>
      </c>
      <c r="C27" s="52" t="s">
        <v>343</v>
      </c>
      <c r="D27" s="62" t="s">
        <v>315</v>
      </c>
      <c r="E27" s="71">
        <v>45518</v>
      </c>
    </row>
    <row r="28" spans="2:5" ht="75">
      <c r="B28" s="60" t="s">
        <v>344</v>
      </c>
      <c r="C28" s="52" t="s">
        <v>345</v>
      </c>
      <c r="D28" s="62" t="s">
        <v>315</v>
      </c>
      <c r="E28" s="71">
        <v>45518</v>
      </c>
    </row>
    <row r="29" spans="2:5" ht="126">
      <c r="B29" s="80" t="s">
        <v>346</v>
      </c>
      <c r="C29" s="52" t="s">
        <v>347</v>
      </c>
      <c r="D29" s="62" t="s">
        <v>315</v>
      </c>
      <c r="E29" s="63">
        <v>45518</v>
      </c>
    </row>
    <row r="30" spans="2:5" ht="43.5">
      <c r="B30" s="60" t="s">
        <v>348</v>
      </c>
      <c r="C30" s="59" t="s">
        <v>349</v>
      </c>
      <c r="D30" s="62" t="s">
        <v>315</v>
      </c>
      <c r="E30" s="63">
        <v>45518</v>
      </c>
    </row>
    <row r="31" spans="2:5" ht="165">
      <c r="B31" s="60" t="s">
        <v>350</v>
      </c>
      <c r="C31" s="52" t="s">
        <v>351</v>
      </c>
      <c r="D31" s="62" t="s">
        <v>315</v>
      </c>
      <c r="E31" s="63">
        <v>45518</v>
      </c>
    </row>
    <row r="32" spans="2:5" ht="29.1">
      <c r="B32" s="60" t="s">
        <v>352</v>
      </c>
      <c r="C32" s="52" t="s">
        <v>608</v>
      </c>
      <c r="D32" s="62" t="s">
        <v>315</v>
      </c>
      <c r="E32" s="63">
        <v>45518</v>
      </c>
    </row>
    <row r="33" spans="2:5" ht="43.5">
      <c r="B33" s="80" t="s">
        <v>276</v>
      </c>
      <c r="C33" s="52" t="s">
        <v>354</v>
      </c>
      <c r="D33" s="62" t="s">
        <v>315</v>
      </c>
      <c r="E33" s="63">
        <v>45518</v>
      </c>
    </row>
    <row r="34" spans="2:5" ht="29.1">
      <c r="B34" s="51" t="s">
        <v>355</v>
      </c>
      <c r="C34" s="52" t="s">
        <v>309</v>
      </c>
      <c r="D34" s="62" t="s">
        <v>315</v>
      </c>
      <c r="E34" s="63">
        <v>45518</v>
      </c>
    </row>
    <row r="35" spans="2:5" ht="113.45">
      <c r="B35" s="51" t="s">
        <v>356</v>
      </c>
      <c r="C35" s="52" t="s">
        <v>357</v>
      </c>
      <c r="D35" s="62" t="s">
        <v>315</v>
      </c>
      <c r="E35" s="63">
        <v>45518</v>
      </c>
    </row>
    <row r="36" spans="2:5" ht="163.5">
      <c r="B36" s="80" t="s">
        <v>285</v>
      </c>
      <c r="C36" s="52" t="s">
        <v>358</v>
      </c>
      <c r="D36" s="62" t="s">
        <v>315</v>
      </c>
      <c r="E36" s="63">
        <v>45518</v>
      </c>
    </row>
    <row r="37" spans="2:5" ht="88.5">
      <c r="B37" s="60" t="s">
        <v>359</v>
      </c>
      <c r="C37" s="52" t="s">
        <v>360</v>
      </c>
      <c r="D37" s="62" t="s">
        <v>315</v>
      </c>
      <c r="E37" s="63">
        <v>45518</v>
      </c>
    </row>
    <row r="38" spans="2:5" ht="43.5">
      <c r="B38" s="60" t="s">
        <v>361</v>
      </c>
      <c r="C38" s="52" t="s">
        <v>309</v>
      </c>
      <c r="D38" s="62" t="s">
        <v>315</v>
      </c>
      <c r="E38" s="63">
        <v>45518</v>
      </c>
    </row>
    <row r="39" spans="2:5" ht="43.5">
      <c r="B39" s="79" t="s">
        <v>362</v>
      </c>
      <c r="C39" s="52" t="s">
        <v>363</v>
      </c>
      <c r="D39" s="62" t="s">
        <v>315</v>
      </c>
      <c r="E39" s="63">
        <v>45518</v>
      </c>
    </row>
    <row r="40" spans="2:5" ht="29.1">
      <c r="B40" s="80" t="s">
        <v>297</v>
      </c>
      <c r="C40" s="52" t="s">
        <v>364</v>
      </c>
      <c r="D40" s="62" t="s">
        <v>315</v>
      </c>
      <c r="E40" s="63">
        <v>45518</v>
      </c>
    </row>
    <row r="41" spans="2:5" ht="29.1">
      <c r="B41" s="51" t="s">
        <v>365</v>
      </c>
      <c r="C41" s="52" t="s">
        <v>609</v>
      </c>
      <c r="D41" s="62" t="s">
        <v>315</v>
      </c>
      <c r="E41" s="63">
        <v>45518</v>
      </c>
    </row>
    <row r="42" spans="2:5" ht="29.1">
      <c r="B42" s="51" t="s">
        <v>367</v>
      </c>
      <c r="C42" s="52" t="s">
        <v>368</v>
      </c>
      <c r="D42" s="62" t="s">
        <v>315</v>
      </c>
      <c r="E42" s="63">
        <v>45518</v>
      </c>
    </row>
  </sheetData>
  <mergeCells count="4">
    <mergeCell ref="A1:E1"/>
    <mergeCell ref="B25:B26"/>
    <mergeCell ref="C25:C26"/>
    <mergeCell ref="D25:D26"/>
  </mergeCells>
  <pageMargins left="0.7" right="0.7" top="0.75" bottom="0.75" header="0.3" footer="0.3"/>
  <pageSetup paperSize="9" orientation="portrait" r:id="rId1"/>
  <headerFooter>
    <oddHeader>&amp;L&amp;"Calibri"&amp;10&amp;K000000OFFICIAL&amp;1#</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04"/>
  <sheetViews>
    <sheetView tabSelected="1" topLeftCell="A66" zoomScale="60" zoomScaleNormal="60" workbookViewId="0">
      <pane xSplit="3" topLeftCell="E1" activePane="topRight" state="frozen"/>
      <selection pane="topRight" activeCell="E84" sqref="E84"/>
    </sheetView>
  </sheetViews>
  <sheetFormatPr defaultRowHeight="12.75" customHeight="1"/>
  <cols>
    <col min="1" max="1" width="24.140625" customWidth="1"/>
    <col min="2" max="2" width="48.85546875" customWidth="1"/>
    <col min="3" max="10" width="20.7109375" customWidth="1"/>
    <col min="11" max="11" width="23.42578125" customWidth="1"/>
    <col min="12" max="12" width="20.7109375" customWidth="1"/>
    <col min="13" max="13" width="70.140625" customWidth="1"/>
    <col min="14" max="14" width="15.42578125" customWidth="1"/>
    <col min="16" max="16" width="10.7109375" bestFit="1" customWidth="1"/>
  </cols>
  <sheetData>
    <row r="1" spans="1:13" ht="18">
      <c r="A1" s="4" t="s">
        <v>491</v>
      </c>
      <c r="B1" s="5"/>
      <c r="C1" s="390" t="s">
        <v>610</v>
      </c>
      <c r="D1" s="390"/>
      <c r="E1" s="390"/>
      <c r="F1" s="390"/>
      <c r="G1" s="390"/>
      <c r="H1" s="390"/>
      <c r="I1" s="390"/>
      <c r="J1" s="390"/>
      <c r="K1" s="219"/>
      <c r="L1" s="219"/>
    </row>
    <row r="2" spans="1:13" ht="18">
      <c r="A2" s="4" t="s">
        <v>492</v>
      </c>
      <c r="B2" s="5"/>
      <c r="C2" s="390"/>
      <c r="D2" s="390"/>
      <c r="E2" s="390"/>
      <c r="F2" s="390"/>
      <c r="G2" s="390"/>
      <c r="H2" s="390"/>
      <c r="I2" s="390"/>
      <c r="J2" s="390"/>
      <c r="K2" s="219"/>
      <c r="L2" s="219"/>
    </row>
    <row r="3" spans="1:13" ht="12.95" thickBot="1"/>
    <row r="4" spans="1:13" ht="12.6" hidden="1">
      <c r="A4" s="7" t="s">
        <v>2</v>
      </c>
      <c r="B4" s="334" t="s">
        <v>4</v>
      </c>
      <c r="C4" s="334"/>
      <c r="D4" s="334"/>
      <c r="E4" s="334"/>
      <c r="F4" s="334"/>
      <c r="G4" s="334"/>
      <c r="H4" s="334"/>
      <c r="I4" s="334"/>
      <c r="J4" s="334"/>
      <c r="K4" s="334"/>
      <c r="L4" s="334"/>
      <c r="M4" s="335"/>
    </row>
    <row r="5" spans="1:13" ht="12.6" hidden="1">
      <c r="A5" s="8" t="s">
        <v>5</v>
      </c>
      <c r="B5" s="9" t="s">
        <v>494</v>
      </c>
      <c r="C5" s="9" t="s">
        <v>4</v>
      </c>
      <c r="D5" s="10" t="s">
        <v>495</v>
      </c>
      <c r="E5" s="10"/>
      <c r="F5" s="10"/>
      <c r="G5" s="10"/>
      <c r="H5" s="10"/>
      <c r="I5" s="10"/>
      <c r="J5" s="10"/>
      <c r="K5" s="10"/>
      <c r="L5" s="10"/>
      <c r="M5" s="89" t="s">
        <v>496</v>
      </c>
    </row>
    <row r="6" spans="1:13" ht="18.75" hidden="1" customHeight="1">
      <c r="A6" s="347" t="s">
        <v>497</v>
      </c>
      <c r="B6" s="343" t="s">
        <v>611</v>
      </c>
      <c r="C6" s="11" t="s">
        <v>498</v>
      </c>
      <c r="D6" s="11">
        <v>621</v>
      </c>
      <c r="E6" s="11"/>
      <c r="F6" s="11"/>
      <c r="G6" s="11"/>
      <c r="H6" s="11"/>
      <c r="I6" s="11"/>
      <c r="J6" s="11"/>
      <c r="K6" s="11"/>
      <c r="L6" s="11"/>
      <c r="M6" s="344" t="s">
        <v>612</v>
      </c>
    </row>
    <row r="7" spans="1:13" ht="12.6" hidden="1">
      <c r="A7" s="348"/>
      <c r="B7" s="341"/>
      <c r="C7" s="11" t="s">
        <v>500</v>
      </c>
      <c r="D7" s="13" t="s">
        <v>4</v>
      </c>
      <c r="E7" s="13"/>
      <c r="F7" s="13"/>
      <c r="G7" s="13"/>
      <c r="H7" s="13"/>
      <c r="I7" s="13"/>
      <c r="J7" s="13"/>
      <c r="K7" s="13"/>
      <c r="L7" s="13"/>
      <c r="M7" s="345"/>
    </row>
    <row r="8" spans="1:13" ht="12.6" hidden="1">
      <c r="A8" s="348"/>
      <c r="B8" s="341"/>
      <c r="C8" s="14" t="s">
        <v>4</v>
      </c>
      <c r="D8" s="336" t="s">
        <v>501</v>
      </c>
      <c r="E8" s="337"/>
      <c r="F8" s="337"/>
      <c r="G8" s="337"/>
      <c r="H8" s="337"/>
      <c r="I8" s="337"/>
      <c r="J8" s="337"/>
      <c r="K8" s="337"/>
      <c r="L8" s="337"/>
      <c r="M8" s="345"/>
    </row>
    <row r="9" spans="1:13" ht="12.6" hidden="1">
      <c r="A9" s="348"/>
      <c r="B9" s="342"/>
      <c r="C9" s="16" t="s">
        <v>4</v>
      </c>
      <c r="D9" s="338" t="s">
        <v>4</v>
      </c>
      <c r="E9" s="339"/>
      <c r="F9" s="339"/>
      <c r="G9" s="339"/>
      <c r="H9" s="339"/>
      <c r="I9" s="339"/>
      <c r="J9" s="339"/>
      <c r="K9" s="339"/>
      <c r="L9" s="339"/>
      <c r="M9" s="345"/>
    </row>
    <row r="10" spans="1:13" ht="12.6" hidden="1">
      <c r="A10" s="348"/>
      <c r="B10" s="48" t="s">
        <v>503</v>
      </c>
      <c r="C10" s="9" t="s">
        <v>4</v>
      </c>
      <c r="D10" s="10" t="s">
        <v>495</v>
      </c>
      <c r="E10" s="10"/>
      <c r="F10" s="10"/>
      <c r="G10" s="10"/>
      <c r="H10" s="10"/>
      <c r="I10" s="10"/>
      <c r="J10" s="10"/>
      <c r="K10" s="10"/>
      <c r="L10" s="10"/>
      <c r="M10" s="345"/>
    </row>
    <row r="11" spans="1:13" ht="22.5" hidden="1" customHeight="1">
      <c r="A11" s="348"/>
      <c r="B11" s="343" t="s">
        <v>613</v>
      </c>
      <c r="C11" s="11" t="s">
        <v>498</v>
      </c>
      <c r="D11" s="11">
        <v>106</v>
      </c>
      <c r="E11" s="11"/>
      <c r="F11" s="11"/>
      <c r="G11" s="11"/>
      <c r="H11" s="11"/>
      <c r="I11" s="11"/>
      <c r="J11" s="11"/>
      <c r="K11" s="11"/>
      <c r="L11" s="11"/>
      <c r="M11" s="345"/>
    </row>
    <row r="12" spans="1:13" ht="12.6" hidden="1">
      <c r="A12" s="348"/>
      <c r="B12" s="341"/>
      <c r="C12" s="11" t="s">
        <v>500</v>
      </c>
      <c r="D12" s="13" t="s">
        <v>4</v>
      </c>
      <c r="E12" s="13"/>
      <c r="F12" s="13"/>
      <c r="G12" s="13"/>
      <c r="H12" s="13"/>
      <c r="I12" s="13"/>
      <c r="J12" s="13"/>
      <c r="K12" s="13"/>
      <c r="L12" s="13"/>
      <c r="M12" s="345"/>
    </row>
    <row r="13" spans="1:13" ht="12.6" hidden="1">
      <c r="A13" s="348"/>
      <c r="B13" s="341"/>
      <c r="C13" s="14" t="s">
        <v>4</v>
      </c>
      <c r="D13" s="336" t="s">
        <v>501</v>
      </c>
      <c r="E13" s="337"/>
      <c r="F13" s="337"/>
      <c r="G13" s="337"/>
      <c r="H13" s="337"/>
      <c r="I13" s="337"/>
      <c r="J13" s="337"/>
      <c r="K13" s="337"/>
      <c r="L13" s="337"/>
      <c r="M13" s="345"/>
    </row>
    <row r="14" spans="1:13" ht="12.6" hidden="1">
      <c r="A14" s="348"/>
      <c r="B14" s="342"/>
      <c r="C14" s="16" t="s">
        <v>4</v>
      </c>
      <c r="D14" s="338" t="s">
        <v>4</v>
      </c>
      <c r="E14" s="339"/>
      <c r="F14" s="339"/>
      <c r="G14" s="339"/>
      <c r="H14" s="339"/>
      <c r="I14" s="339"/>
      <c r="J14" s="339"/>
      <c r="K14" s="339"/>
      <c r="L14" s="339"/>
      <c r="M14" s="345"/>
    </row>
    <row r="15" spans="1:13" ht="15" hidden="1" customHeight="1">
      <c r="A15" s="348"/>
      <c r="B15" s="48" t="s">
        <v>504</v>
      </c>
      <c r="C15" s="9" t="s">
        <v>4</v>
      </c>
      <c r="D15" s="10" t="s">
        <v>495</v>
      </c>
      <c r="E15" s="10"/>
      <c r="F15" s="10"/>
      <c r="G15" s="10"/>
      <c r="H15" s="10"/>
      <c r="I15" s="10"/>
      <c r="J15" s="10"/>
      <c r="K15" s="10"/>
      <c r="L15" s="10"/>
      <c r="M15" s="345"/>
    </row>
    <row r="16" spans="1:13" ht="15" hidden="1" customHeight="1">
      <c r="A16" s="348"/>
      <c r="B16" s="340" t="s">
        <v>192</v>
      </c>
      <c r="C16" s="11" t="s">
        <v>498</v>
      </c>
      <c r="D16" s="11">
        <v>2.6</v>
      </c>
      <c r="E16" s="11"/>
      <c r="F16" s="11"/>
      <c r="G16" s="11"/>
      <c r="H16" s="11"/>
      <c r="I16" s="11"/>
      <c r="J16" s="11"/>
      <c r="K16" s="11"/>
      <c r="L16" s="11"/>
      <c r="M16" s="345"/>
    </row>
    <row r="17" spans="1:14" ht="15" hidden="1" customHeight="1">
      <c r="A17" s="348"/>
      <c r="B17" s="341"/>
      <c r="C17" s="11" t="s">
        <v>500</v>
      </c>
      <c r="D17" s="13" t="s">
        <v>4</v>
      </c>
      <c r="E17" s="13"/>
      <c r="F17" s="13"/>
      <c r="G17" s="13"/>
      <c r="H17" s="13"/>
      <c r="I17" s="13"/>
      <c r="J17" s="13"/>
      <c r="K17" s="13"/>
      <c r="L17" s="13"/>
      <c r="M17" s="345"/>
    </row>
    <row r="18" spans="1:14" ht="15" hidden="1" customHeight="1">
      <c r="A18" s="348"/>
      <c r="B18" s="341"/>
      <c r="C18" s="14" t="s">
        <v>4</v>
      </c>
      <c r="D18" s="336" t="s">
        <v>501</v>
      </c>
      <c r="E18" s="337"/>
      <c r="F18" s="337"/>
      <c r="G18" s="337"/>
      <c r="H18" s="337"/>
      <c r="I18" s="337"/>
      <c r="J18" s="337"/>
      <c r="K18" s="337"/>
      <c r="L18" s="337"/>
      <c r="M18" s="345"/>
    </row>
    <row r="19" spans="1:14" ht="15" hidden="1" customHeight="1">
      <c r="A19" s="349"/>
      <c r="B19" s="342"/>
      <c r="C19" s="16" t="s">
        <v>4</v>
      </c>
      <c r="D19" s="338" t="s">
        <v>4</v>
      </c>
      <c r="E19" s="339"/>
      <c r="F19" s="339"/>
      <c r="G19" s="339"/>
      <c r="H19" s="339"/>
      <c r="I19" s="339"/>
      <c r="J19" s="339"/>
      <c r="K19" s="339"/>
      <c r="L19" s="339"/>
      <c r="M19" s="346"/>
    </row>
    <row r="20" spans="1:14" ht="12.6" hidden="1">
      <c r="A20" s="18"/>
      <c r="B20" s="18"/>
      <c r="C20" s="18"/>
      <c r="D20" s="18"/>
      <c r="E20" s="18"/>
      <c r="F20" s="18"/>
      <c r="G20" s="18"/>
      <c r="H20" s="18"/>
      <c r="I20" s="18"/>
      <c r="J20" s="18"/>
      <c r="K20" s="18"/>
      <c r="L20" s="18"/>
      <c r="M20" s="18"/>
    </row>
    <row r="21" spans="1:14" ht="12.6" hidden="1">
      <c r="A21" s="18"/>
      <c r="B21" s="18"/>
      <c r="C21" s="18"/>
      <c r="D21" s="18"/>
      <c r="E21" s="18"/>
      <c r="F21" s="18"/>
      <c r="G21" s="18"/>
      <c r="H21" s="18"/>
      <c r="I21" s="18"/>
      <c r="J21" s="18"/>
      <c r="K21" s="18"/>
      <c r="L21" s="18"/>
      <c r="M21" s="18"/>
    </row>
    <row r="22" spans="1:14" s="110" customFormat="1" ht="46.5" thickBot="1">
      <c r="A22" s="134" t="s">
        <v>7</v>
      </c>
      <c r="B22" s="135" t="s">
        <v>505</v>
      </c>
      <c r="C22" s="140" t="s">
        <v>4</v>
      </c>
      <c r="D22" s="143" t="s">
        <v>495</v>
      </c>
      <c r="E22" s="253" t="s">
        <v>614</v>
      </c>
      <c r="F22" s="141" t="s">
        <v>615</v>
      </c>
      <c r="G22" s="240" t="s">
        <v>507</v>
      </c>
      <c r="H22" s="143" t="s">
        <v>508</v>
      </c>
      <c r="I22" s="162" t="s">
        <v>509</v>
      </c>
      <c r="J22" s="143" t="s">
        <v>510</v>
      </c>
      <c r="K22" s="141" t="s">
        <v>511</v>
      </c>
      <c r="L22" s="162" t="s">
        <v>616</v>
      </c>
      <c r="M22" s="137" t="s">
        <v>496</v>
      </c>
    </row>
    <row r="23" spans="1:14" ht="35.25" customHeight="1" thickBot="1">
      <c r="A23" s="353" t="s">
        <v>513</v>
      </c>
      <c r="B23" s="350" t="s">
        <v>200</v>
      </c>
      <c r="C23" s="11" t="s">
        <v>498</v>
      </c>
      <c r="D23" s="85">
        <v>1.4999999999999999E-2</v>
      </c>
      <c r="E23" s="138">
        <v>0.02</v>
      </c>
      <c r="F23" s="254">
        <v>1.4999999999999999E-2</v>
      </c>
      <c r="G23" s="85">
        <v>1.6E-2</v>
      </c>
      <c r="H23" s="85">
        <v>1.7000000000000001E-2</v>
      </c>
      <c r="I23" s="85">
        <v>1.7000000000000001E-2</v>
      </c>
      <c r="J23" s="85">
        <v>1.7999999999999999E-2</v>
      </c>
      <c r="K23" s="85">
        <v>1.9E-2</v>
      </c>
      <c r="L23" s="85">
        <v>1.9E-2</v>
      </c>
      <c r="M23" s="323" t="s">
        <v>617</v>
      </c>
      <c r="N23" s="472"/>
    </row>
    <row r="24" spans="1:14" ht="33" customHeight="1">
      <c r="A24" s="354"/>
      <c r="B24" s="351"/>
      <c r="C24" s="11" t="s">
        <v>500</v>
      </c>
      <c r="D24" s="152" t="s">
        <v>4</v>
      </c>
      <c r="E24" s="152"/>
      <c r="F24" s="152"/>
      <c r="G24" s="168">
        <f>1917/'Catchment Population 2026'!N91</f>
        <v>1.5228849812717719E-2</v>
      </c>
      <c r="H24" s="168">
        <f>2042/'Catchment Population 2026'!N91</f>
        <v>1.6221862972128107E-2</v>
      </c>
      <c r="I24" s="168">
        <f>3959/'Catchment Population 2026'!N90</f>
        <v>1.5725356392422913E-2</v>
      </c>
      <c r="J24" s="232">
        <f>1692/'Catchment Population 2026'!N91</f>
        <v>1.3441426125779019E-2</v>
      </c>
      <c r="K24" s="232">
        <f>1411/'Catchment Population 2026'!N91</f>
        <v>1.1209132543424465E-2</v>
      </c>
      <c r="L24" s="168">
        <f>(3103)/'Catchment Population 2026'!N90</f>
        <v>1.2325279334601742E-2</v>
      </c>
      <c r="M24" s="324"/>
    </row>
    <row r="25" spans="1:14" ht="12.95" customHeight="1">
      <c r="A25" s="354"/>
      <c r="B25" s="351"/>
      <c r="C25" s="14" t="s">
        <v>4</v>
      </c>
      <c r="D25" s="336" t="s">
        <v>501</v>
      </c>
      <c r="E25" s="337"/>
      <c r="F25" s="337"/>
      <c r="G25" s="337"/>
      <c r="H25" s="337"/>
      <c r="I25" s="337"/>
      <c r="J25" s="337"/>
      <c r="K25" s="337"/>
      <c r="L25" s="337"/>
      <c r="M25" s="122"/>
    </row>
    <row r="26" spans="1:14" ht="12.6">
      <c r="A26" s="354"/>
      <c r="B26" s="352"/>
      <c r="C26" s="16" t="s">
        <v>4</v>
      </c>
      <c r="D26" s="321" t="s">
        <v>184</v>
      </c>
      <c r="E26" s="322"/>
      <c r="F26" s="322"/>
      <c r="G26" s="322"/>
      <c r="H26" s="322"/>
      <c r="I26" s="322"/>
      <c r="J26" s="322"/>
      <c r="K26" s="322"/>
      <c r="L26" s="322"/>
      <c r="M26" s="122"/>
    </row>
    <row r="27" spans="1:14" ht="45.95">
      <c r="A27" s="354"/>
      <c r="B27" s="7" t="s">
        <v>515</v>
      </c>
      <c r="C27" s="9" t="s">
        <v>4</v>
      </c>
      <c r="D27" s="139" t="s">
        <v>495</v>
      </c>
      <c r="E27" s="136" t="s">
        <v>506</v>
      </c>
      <c r="F27" s="236" t="s">
        <v>615</v>
      </c>
      <c r="G27" s="143" t="s">
        <v>507</v>
      </c>
      <c r="H27" s="143" t="s">
        <v>508</v>
      </c>
      <c r="I27" s="162" t="s">
        <v>509</v>
      </c>
      <c r="J27" s="143" t="s">
        <v>510</v>
      </c>
      <c r="K27" s="141" t="s">
        <v>511</v>
      </c>
      <c r="L27" s="162" t="s">
        <v>616</v>
      </c>
      <c r="M27" s="122"/>
    </row>
    <row r="28" spans="1:14" ht="21" customHeight="1">
      <c r="A28" s="354"/>
      <c r="B28" s="350" t="s">
        <v>516</v>
      </c>
      <c r="C28" s="11" t="s">
        <v>498</v>
      </c>
      <c r="D28" s="82">
        <v>0.28999999999999998</v>
      </c>
      <c r="E28" s="237">
        <v>0.42</v>
      </c>
      <c r="F28" s="255">
        <v>0.39</v>
      </c>
      <c r="G28" s="82">
        <v>0.3</v>
      </c>
      <c r="H28" s="82">
        <v>0.33</v>
      </c>
      <c r="I28" s="82">
        <v>0.34</v>
      </c>
      <c r="J28" s="82">
        <v>0.36</v>
      </c>
      <c r="K28" s="82">
        <v>0.39</v>
      </c>
      <c r="L28" s="82">
        <v>0.39</v>
      </c>
      <c r="M28" s="122" t="s">
        <v>618</v>
      </c>
    </row>
    <row r="29" spans="1:14" ht="12.95" customHeight="1">
      <c r="A29" s="354"/>
      <c r="B29" s="351"/>
      <c r="C29" s="11" t="s">
        <v>500</v>
      </c>
      <c r="D29" s="152" t="s">
        <v>4</v>
      </c>
      <c r="E29" s="152"/>
      <c r="F29" s="152"/>
      <c r="G29" s="157">
        <f>9276/'Catchment Population 2026'!L91</f>
        <v>0.36052002565148955</v>
      </c>
      <c r="H29" s="157">
        <f>8844/'Catchment Population 2026'!L91</f>
        <v>0.3437299597738005</v>
      </c>
      <c r="I29" s="163">
        <f>18120/'Catchment Population 2026'!L90</f>
        <v>0.35212499271264502</v>
      </c>
      <c r="J29" s="157">
        <f>15651/'Catchment Population 2026'!L91</f>
        <v>0.60829009502710896</v>
      </c>
      <c r="K29" s="157">
        <f>16170/'Catchment Population 2026'!L91</f>
        <v>0.62846149361627701</v>
      </c>
      <c r="L29" s="163">
        <f>(31821)/'Catchment Population 2026'!L90</f>
        <v>0.61837579432169298</v>
      </c>
      <c r="M29" s="122"/>
    </row>
    <row r="30" spans="1:14" ht="12.95" customHeight="1">
      <c r="A30" s="354"/>
      <c r="B30" s="351"/>
      <c r="C30" s="14" t="s">
        <v>4</v>
      </c>
      <c r="D30" s="336" t="s">
        <v>501</v>
      </c>
      <c r="E30" s="337"/>
      <c r="F30" s="337"/>
      <c r="G30" s="337"/>
      <c r="H30" s="337"/>
      <c r="I30" s="337"/>
      <c r="J30" s="337"/>
      <c r="K30" s="337"/>
      <c r="L30" s="337"/>
      <c r="M30" s="122"/>
    </row>
    <row r="31" spans="1:14" ht="12.6">
      <c r="A31" s="354"/>
      <c r="B31" s="352"/>
      <c r="C31" s="16" t="s">
        <v>4</v>
      </c>
      <c r="D31" s="321" t="s">
        <v>184</v>
      </c>
      <c r="E31" s="322"/>
      <c r="F31" s="322"/>
      <c r="G31" s="322"/>
      <c r="H31" s="322"/>
      <c r="I31" s="322"/>
      <c r="J31" s="322"/>
      <c r="K31" s="322"/>
      <c r="L31" s="322"/>
      <c r="M31" s="122"/>
    </row>
    <row r="32" spans="1:14" ht="45.95">
      <c r="A32" s="354"/>
      <c r="B32" s="7" t="s">
        <v>517</v>
      </c>
      <c r="C32" s="9" t="s">
        <v>4</v>
      </c>
      <c r="D32" s="139" t="s">
        <v>495</v>
      </c>
      <c r="E32" s="136" t="s">
        <v>506</v>
      </c>
      <c r="F32" s="236" t="s">
        <v>615</v>
      </c>
      <c r="G32" s="143" t="s">
        <v>507</v>
      </c>
      <c r="H32" s="143" t="s">
        <v>508</v>
      </c>
      <c r="I32" s="162" t="s">
        <v>509</v>
      </c>
      <c r="J32" s="143" t="s">
        <v>510</v>
      </c>
      <c r="K32" s="141" t="s">
        <v>511</v>
      </c>
      <c r="L32" s="162" t="s">
        <v>616</v>
      </c>
      <c r="M32" s="122"/>
    </row>
    <row r="33" spans="1:13" ht="21" customHeight="1">
      <c r="A33" s="354"/>
      <c r="B33" s="350" t="s">
        <v>213</v>
      </c>
      <c r="C33" s="11" t="s">
        <v>498</v>
      </c>
      <c r="D33" s="82">
        <v>0.47</v>
      </c>
      <c r="E33" s="237">
        <v>0.54500000000000004</v>
      </c>
      <c r="F33" s="255">
        <v>0.53</v>
      </c>
      <c r="G33" s="82">
        <v>0.48499999999999999</v>
      </c>
      <c r="H33" s="82">
        <v>0.5</v>
      </c>
      <c r="I33" s="82">
        <v>0.5</v>
      </c>
      <c r="J33" s="82">
        <v>0.52</v>
      </c>
      <c r="K33" s="82">
        <v>0.53</v>
      </c>
      <c r="L33" s="82">
        <v>0.53</v>
      </c>
      <c r="M33" s="122" t="s">
        <v>618</v>
      </c>
    </row>
    <row r="34" spans="1:13" ht="12.95" customHeight="1">
      <c r="A34" s="354"/>
      <c r="B34" s="351"/>
      <c r="C34" s="11" t="s">
        <v>500</v>
      </c>
      <c r="D34" s="152" t="s">
        <v>4</v>
      </c>
      <c r="E34" s="152"/>
      <c r="F34" s="152"/>
      <c r="G34" s="157">
        <f>19954/'Catchment Population 2026'!M91</f>
        <v>0.8725348725348725</v>
      </c>
      <c r="H34" s="157">
        <f>18930/'Catchment Population 2026'!M91</f>
        <v>0.82775810048537324</v>
      </c>
      <c r="I34" s="192">
        <f>38884/'Catchment Population 2026'!M90</f>
        <v>0.85014648651012292</v>
      </c>
      <c r="J34" s="157">
        <f>20867/'Catchment Population 2026'!M91</f>
        <v>0.91245791245791241</v>
      </c>
      <c r="K34" s="157">
        <f>19953/'Catchment Population 2026'!M91</f>
        <v>0.87249114521841797</v>
      </c>
      <c r="L34" s="192">
        <f>(40820)/'Catchment Population 2026'!M90</f>
        <v>0.89247452883816525</v>
      </c>
      <c r="M34" s="122"/>
    </row>
    <row r="35" spans="1:13" ht="12.95" customHeight="1">
      <c r="A35" s="354"/>
      <c r="B35" s="351"/>
      <c r="C35" s="14" t="s">
        <v>4</v>
      </c>
      <c r="D35" s="336" t="s">
        <v>501</v>
      </c>
      <c r="E35" s="337"/>
      <c r="F35" s="337"/>
      <c r="G35" s="337"/>
      <c r="H35" s="337"/>
      <c r="I35" s="337"/>
      <c r="J35" s="337"/>
      <c r="K35" s="337"/>
      <c r="L35" s="337"/>
      <c r="M35" s="122"/>
    </row>
    <row r="36" spans="1:13" ht="12.95" customHeight="1">
      <c r="A36" s="354"/>
      <c r="B36" s="352"/>
      <c r="C36" s="16" t="s">
        <v>4</v>
      </c>
      <c r="D36" s="321" t="s">
        <v>184</v>
      </c>
      <c r="E36" s="322"/>
      <c r="F36" s="322"/>
      <c r="G36" s="322"/>
      <c r="H36" s="322"/>
      <c r="I36" s="322"/>
      <c r="J36" s="322"/>
      <c r="K36" s="322"/>
      <c r="L36" s="322"/>
      <c r="M36" s="122"/>
    </row>
    <row r="37" spans="1:13" ht="45.95">
      <c r="A37" s="354"/>
      <c r="B37" s="7" t="s">
        <v>518</v>
      </c>
      <c r="C37" s="9" t="s">
        <v>4</v>
      </c>
      <c r="D37" s="139" t="s">
        <v>495</v>
      </c>
      <c r="E37" s="136" t="s">
        <v>506</v>
      </c>
      <c r="F37" s="236" t="s">
        <v>615</v>
      </c>
      <c r="G37" s="143" t="s">
        <v>507</v>
      </c>
      <c r="H37" s="143" t="s">
        <v>508</v>
      </c>
      <c r="I37" s="162" t="s">
        <v>509</v>
      </c>
      <c r="J37" s="143" t="s">
        <v>510</v>
      </c>
      <c r="K37" s="141" t="s">
        <v>511</v>
      </c>
      <c r="L37" s="162" t="s">
        <v>616</v>
      </c>
      <c r="M37" s="122"/>
    </row>
    <row r="38" spans="1:13" ht="23.25" customHeight="1">
      <c r="A38" s="354"/>
      <c r="B38" s="350" t="s">
        <v>219</v>
      </c>
      <c r="C38" s="11" t="s">
        <v>498</v>
      </c>
      <c r="D38" s="82">
        <f>26668/'Catchment Population 2026'!J90</f>
        <v>0.61374882051046009</v>
      </c>
      <c r="E38" s="237">
        <v>0.86</v>
      </c>
      <c r="F38" s="255">
        <v>0.81</v>
      </c>
      <c r="G38" s="82">
        <v>0.66</v>
      </c>
      <c r="H38" s="82">
        <v>0.71</v>
      </c>
      <c r="I38" s="82">
        <v>0.71</v>
      </c>
      <c r="J38" s="82">
        <v>0.76</v>
      </c>
      <c r="K38" s="82">
        <v>0.81</v>
      </c>
      <c r="L38" s="82">
        <v>0.81</v>
      </c>
      <c r="M38" s="122" t="s">
        <v>618</v>
      </c>
    </row>
    <row r="39" spans="1:13" ht="15" customHeight="1">
      <c r="A39" s="354"/>
      <c r="B39" s="351"/>
      <c r="C39" s="11" t="s">
        <v>500</v>
      </c>
      <c r="D39" s="152" t="s">
        <v>4</v>
      </c>
      <c r="E39" s="152"/>
      <c r="F39" s="152"/>
      <c r="G39" s="157">
        <f>26660/'Catchment Population 2026'!J91</f>
        <v>1.227129410140158</v>
      </c>
      <c r="H39" s="157">
        <f>26879/'Catchment Population 2026'!J91</f>
        <v>1.2372097305010241</v>
      </c>
      <c r="I39" s="157">
        <f>53539/'Catchment Population 2026'!J90</f>
        <v>1.232169570320591</v>
      </c>
      <c r="J39" s="157">
        <f>27450/'Catchment Population 2026'!J91</f>
        <v>1.2634922096154289</v>
      </c>
      <c r="K39" s="157">
        <f>32221/'Catchment Population 2026'!J91</f>
        <v>1.4830959011300084</v>
      </c>
      <c r="L39" s="157">
        <f>(59671)/'Catchment Population 2026'!J90</f>
        <v>1.3732940553727186</v>
      </c>
      <c r="M39" s="122"/>
    </row>
    <row r="40" spans="1:13" ht="15" customHeight="1">
      <c r="A40" s="354"/>
      <c r="B40" s="351"/>
      <c r="C40" s="14" t="s">
        <v>4</v>
      </c>
      <c r="D40" s="336" t="s">
        <v>501</v>
      </c>
      <c r="E40" s="337"/>
      <c r="F40" s="337"/>
      <c r="G40" s="337"/>
      <c r="H40" s="337"/>
      <c r="I40" s="337"/>
      <c r="J40" s="337"/>
      <c r="K40" s="337"/>
      <c r="L40" s="337"/>
      <c r="M40" s="122"/>
    </row>
    <row r="41" spans="1:13" ht="15" customHeight="1">
      <c r="A41" s="354"/>
      <c r="B41" s="352"/>
      <c r="C41" s="16" t="s">
        <v>4</v>
      </c>
      <c r="D41" s="321" t="s">
        <v>184</v>
      </c>
      <c r="E41" s="322"/>
      <c r="F41" s="367"/>
      <c r="G41" s="322"/>
      <c r="H41" s="322"/>
      <c r="I41" s="322"/>
      <c r="J41" s="322"/>
      <c r="K41" s="322"/>
      <c r="L41" s="322"/>
      <c r="M41" s="122"/>
    </row>
    <row r="42" spans="1:13" ht="45.95">
      <c r="A42" s="354"/>
      <c r="B42" s="7" t="s">
        <v>519</v>
      </c>
      <c r="C42" s="9" t="s">
        <v>4</v>
      </c>
      <c r="D42" s="139" t="s">
        <v>495</v>
      </c>
      <c r="E42" s="148" t="s">
        <v>506</v>
      </c>
      <c r="F42" s="141" t="s">
        <v>615</v>
      </c>
      <c r="G42" s="240" t="s">
        <v>507</v>
      </c>
      <c r="H42" s="143" t="s">
        <v>508</v>
      </c>
      <c r="I42" s="162" t="s">
        <v>509</v>
      </c>
      <c r="J42" s="143" t="s">
        <v>510</v>
      </c>
      <c r="K42" s="141" t="s">
        <v>511</v>
      </c>
      <c r="L42" s="162" t="s">
        <v>616</v>
      </c>
      <c r="M42" s="122"/>
    </row>
    <row r="43" spans="1:13" ht="23.25" customHeight="1">
      <c r="A43" s="354"/>
      <c r="B43" s="350" t="s">
        <v>224</v>
      </c>
      <c r="C43" s="11" t="s">
        <v>498</v>
      </c>
      <c r="D43" s="82">
        <v>0.9</v>
      </c>
      <c r="E43" s="138">
        <v>0.95</v>
      </c>
      <c r="F43" s="256">
        <v>0.95</v>
      </c>
      <c r="G43" s="82">
        <v>0.92</v>
      </c>
      <c r="H43" s="82">
        <v>0.95</v>
      </c>
      <c r="I43" s="82">
        <v>0.95</v>
      </c>
      <c r="J43" s="82">
        <v>0.95</v>
      </c>
      <c r="K43" s="82">
        <v>0.95</v>
      </c>
      <c r="L43" s="82">
        <v>0.95</v>
      </c>
      <c r="M43" s="122" t="s">
        <v>618</v>
      </c>
    </row>
    <row r="44" spans="1:13" ht="15" customHeight="1">
      <c r="A44" s="354"/>
      <c r="B44" s="351"/>
      <c r="C44" s="11" t="s">
        <v>500</v>
      </c>
      <c r="D44" s="152" t="s">
        <v>4</v>
      </c>
      <c r="E44" s="152"/>
      <c r="F44" s="266">
        <v>0.95</v>
      </c>
      <c r="G44" s="157">
        <v>0.96399999999999997</v>
      </c>
      <c r="H44" s="157">
        <v>0.96</v>
      </c>
      <c r="I44" s="138">
        <v>0.96</v>
      </c>
      <c r="J44" s="157">
        <v>0.92</v>
      </c>
      <c r="K44" s="138">
        <v>0.96</v>
      </c>
      <c r="L44" s="138">
        <v>0.94</v>
      </c>
      <c r="M44" s="122"/>
    </row>
    <row r="45" spans="1:13" ht="15" customHeight="1">
      <c r="A45" s="354"/>
      <c r="B45" s="351"/>
      <c r="C45" s="14" t="s">
        <v>4</v>
      </c>
      <c r="D45" s="336" t="s">
        <v>501</v>
      </c>
      <c r="E45" s="337"/>
      <c r="F45" s="337"/>
      <c r="G45" s="337"/>
      <c r="H45" s="337"/>
      <c r="I45" s="337"/>
      <c r="J45" s="337"/>
      <c r="K45" s="337"/>
      <c r="L45" s="337"/>
      <c r="M45" s="122"/>
    </row>
    <row r="46" spans="1:13" ht="15" customHeight="1">
      <c r="A46" s="354"/>
      <c r="B46" s="352"/>
      <c r="C46" s="16" t="s">
        <v>4</v>
      </c>
      <c r="D46" s="321" t="s">
        <v>197</v>
      </c>
      <c r="E46" s="322"/>
      <c r="F46" s="367"/>
      <c r="G46" s="322"/>
      <c r="H46" s="322"/>
      <c r="I46" s="322"/>
      <c r="J46" s="322"/>
      <c r="K46" s="322"/>
      <c r="L46" s="322"/>
      <c r="M46" s="122"/>
    </row>
    <row r="47" spans="1:13" ht="45.95">
      <c r="A47" s="354"/>
      <c r="B47" s="7" t="s">
        <v>520</v>
      </c>
      <c r="C47" s="9" t="s">
        <v>4</v>
      </c>
      <c r="D47" s="139" t="s">
        <v>495</v>
      </c>
      <c r="E47" s="148" t="s">
        <v>506</v>
      </c>
      <c r="F47" s="141" t="s">
        <v>615</v>
      </c>
      <c r="G47" s="240" t="s">
        <v>507</v>
      </c>
      <c r="H47" s="143" t="s">
        <v>508</v>
      </c>
      <c r="I47" s="162" t="s">
        <v>509</v>
      </c>
      <c r="J47" s="143" t="s">
        <v>510</v>
      </c>
      <c r="K47" s="141" t="s">
        <v>511</v>
      </c>
      <c r="L47" s="162" t="s">
        <v>616</v>
      </c>
      <c r="M47" s="122"/>
    </row>
    <row r="48" spans="1:13" ht="18.75" customHeight="1">
      <c r="A48" s="354"/>
      <c r="B48" s="368" t="s">
        <v>521</v>
      </c>
      <c r="C48" s="11" t="s">
        <v>498</v>
      </c>
      <c r="D48" s="154">
        <f>247777/'[1]Catchment Population'!$J$93</f>
        <v>0.21648004668994175</v>
      </c>
      <c r="E48" s="155">
        <v>0.32</v>
      </c>
      <c r="F48" s="257">
        <v>0.31</v>
      </c>
      <c r="G48" s="154">
        <v>0.24</v>
      </c>
      <c r="H48" s="154">
        <v>0.26</v>
      </c>
      <c r="I48" s="154">
        <v>0.26</v>
      </c>
      <c r="J48" s="154">
        <v>0.28000000000000003</v>
      </c>
      <c r="K48" s="154">
        <v>0.3</v>
      </c>
      <c r="L48" s="154">
        <v>0.31</v>
      </c>
      <c r="M48" s="122" t="s">
        <v>618</v>
      </c>
    </row>
    <row r="49" spans="1:14" ht="15" customHeight="1">
      <c r="A49" s="354"/>
      <c r="B49" s="369"/>
      <c r="C49" s="11" t="s">
        <v>500</v>
      </c>
      <c r="D49" s="152" t="s">
        <v>4</v>
      </c>
      <c r="E49" s="152"/>
      <c r="F49" s="152"/>
      <c r="G49" s="159">
        <f>270048/'Catchment Population 2026'!I91</f>
        <v>0.47189244162679594</v>
      </c>
      <c r="H49" s="159">
        <f>228024/'Catchment Population 2026'!I91</f>
        <v>0.39845805971348985</v>
      </c>
      <c r="I49" s="159">
        <f>498072/'Catchment Population 2026'!I90</f>
        <v>0.4351752506701429</v>
      </c>
      <c r="J49" s="229">
        <f>255376/'Catchment Population 2026'!I91</f>
        <v>0.44625401474139648</v>
      </c>
      <c r="K49" s="229">
        <f>292985/'Catchment Population 2026'!I91</f>
        <v>0.51197345290476803</v>
      </c>
      <c r="L49" s="229">
        <f>(548361)/'Catchment Population 2026'!I90</f>
        <v>0.47911373382308226</v>
      </c>
      <c r="M49" s="122"/>
    </row>
    <row r="50" spans="1:14" ht="15" customHeight="1">
      <c r="A50" s="354"/>
      <c r="B50" s="369"/>
      <c r="C50" s="14" t="s">
        <v>4</v>
      </c>
      <c r="D50" s="336" t="s">
        <v>501</v>
      </c>
      <c r="E50" s="337"/>
      <c r="F50" s="337"/>
      <c r="G50" s="337"/>
      <c r="H50" s="337"/>
      <c r="I50" s="337"/>
      <c r="J50" s="337"/>
      <c r="K50" s="337"/>
      <c r="L50" s="337"/>
      <c r="M50" s="122"/>
    </row>
    <row r="51" spans="1:14" ht="15" customHeight="1">
      <c r="A51" s="355"/>
      <c r="B51" s="370"/>
      <c r="C51" s="16" t="s">
        <v>4</v>
      </c>
      <c r="D51" s="321" t="s">
        <v>184</v>
      </c>
      <c r="E51" s="322"/>
      <c r="F51" s="367"/>
      <c r="G51" s="322"/>
      <c r="H51" s="322"/>
      <c r="I51" s="322"/>
      <c r="J51" s="322"/>
      <c r="K51" s="322"/>
      <c r="L51" s="322"/>
      <c r="M51" s="123"/>
    </row>
    <row r="52" spans="1:14" ht="45.95">
      <c r="A52" s="19" t="s">
        <v>7</v>
      </c>
      <c r="B52" s="20" t="s">
        <v>505</v>
      </c>
      <c r="C52" s="20" t="s">
        <v>4</v>
      </c>
      <c r="D52" s="139" t="s">
        <v>495</v>
      </c>
      <c r="E52" s="148" t="s">
        <v>506</v>
      </c>
      <c r="F52" s="141" t="s">
        <v>615</v>
      </c>
      <c r="G52" s="240" t="s">
        <v>507</v>
      </c>
      <c r="H52" s="143" t="s">
        <v>508</v>
      </c>
      <c r="I52" s="162" t="s">
        <v>509</v>
      </c>
      <c r="J52" s="143" t="s">
        <v>510</v>
      </c>
      <c r="K52" s="141" t="s">
        <v>511</v>
      </c>
      <c r="L52" s="162" t="s">
        <v>616</v>
      </c>
      <c r="M52" s="84" t="s">
        <v>496</v>
      </c>
    </row>
    <row r="53" spans="1:14" ht="21.75" customHeight="1">
      <c r="A53" s="384" t="s">
        <v>523</v>
      </c>
      <c r="B53" s="368" t="s">
        <v>619</v>
      </c>
      <c r="C53" s="11" t="s">
        <v>498</v>
      </c>
      <c r="D53" s="166">
        <v>0</v>
      </c>
      <c r="E53" s="165">
        <v>1144575</v>
      </c>
      <c r="F53" s="244">
        <v>915680</v>
      </c>
      <c r="G53" s="166">
        <v>228915</v>
      </c>
      <c r="H53" s="166">
        <v>457830</v>
      </c>
      <c r="I53" s="166">
        <v>457830</v>
      </c>
      <c r="J53" s="166">
        <v>686745</v>
      </c>
      <c r="K53" s="166">
        <v>915660</v>
      </c>
      <c r="L53" s="166">
        <v>915680</v>
      </c>
      <c r="M53" s="323" t="s">
        <v>525</v>
      </c>
    </row>
    <row r="54" spans="1:14" ht="17.25" customHeight="1">
      <c r="A54" s="385"/>
      <c r="B54" s="369"/>
      <c r="C54" s="11" t="s">
        <v>500</v>
      </c>
      <c r="D54" s="152" t="s">
        <v>4</v>
      </c>
      <c r="E54" s="152"/>
      <c r="F54" s="152"/>
      <c r="G54" s="164">
        <v>272966</v>
      </c>
      <c r="H54" s="164">
        <v>228024</v>
      </c>
      <c r="I54" s="164">
        <f>G54+H54</f>
        <v>500990</v>
      </c>
      <c r="J54" s="164">
        <v>756366</v>
      </c>
      <c r="K54" s="165">
        <v>1010393</v>
      </c>
      <c r="L54" s="165">
        <v>1010393</v>
      </c>
      <c r="M54" s="324"/>
      <c r="N54" s="230">
        <f>(K122+K69+K74+K79+K2)+J54</f>
        <v>1093481</v>
      </c>
    </row>
    <row r="55" spans="1:14" ht="12.95" customHeight="1">
      <c r="A55" s="385"/>
      <c r="B55" s="369"/>
      <c r="C55" s="14" t="s">
        <v>4</v>
      </c>
      <c r="D55" s="336" t="s">
        <v>501</v>
      </c>
      <c r="E55" s="337"/>
      <c r="F55" s="337"/>
      <c r="G55" s="337"/>
      <c r="H55" s="337"/>
      <c r="I55" s="337"/>
      <c r="J55" s="337"/>
      <c r="K55" s="337"/>
      <c r="L55" s="337"/>
      <c r="M55" s="324"/>
    </row>
    <row r="56" spans="1:14" ht="20.45" customHeight="1">
      <c r="A56" s="386"/>
      <c r="B56" s="370"/>
      <c r="C56" s="16" t="s">
        <v>4</v>
      </c>
      <c r="D56" s="321" t="s">
        <v>236</v>
      </c>
      <c r="E56" s="322"/>
      <c r="F56" s="322"/>
      <c r="G56" s="322"/>
      <c r="H56" s="322"/>
      <c r="I56" s="322"/>
      <c r="J56" s="322"/>
      <c r="K56" s="322"/>
      <c r="L56" s="322"/>
      <c r="M56" s="402"/>
    </row>
    <row r="57" spans="1:14" ht="12.6" customHeight="1">
      <c r="A57" s="356" t="s">
        <v>527</v>
      </c>
      <c r="B57" s="22" t="s">
        <v>528</v>
      </c>
      <c r="C57" s="22" t="s">
        <v>4</v>
      </c>
      <c r="D57" s="22" t="s">
        <v>529</v>
      </c>
      <c r="E57" s="22"/>
      <c r="F57" s="22"/>
      <c r="G57" s="22"/>
      <c r="H57" s="22"/>
      <c r="I57" s="22"/>
      <c r="J57" s="22"/>
      <c r="K57" s="22"/>
      <c r="L57" s="22"/>
      <c r="M57" s="146"/>
    </row>
    <row r="58" spans="1:14" ht="12.6">
      <c r="A58" s="357"/>
      <c r="B58" s="11" t="s">
        <v>4</v>
      </c>
      <c r="C58" s="11" t="s">
        <v>4</v>
      </c>
      <c r="D58" s="11" t="s">
        <v>4</v>
      </c>
      <c r="E58" s="11"/>
      <c r="F58" s="11"/>
      <c r="G58" s="11"/>
      <c r="H58" s="11"/>
      <c r="I58" s="11"/>
      <c r="J58" s="231"/>
      <c r="K58" s="11"/>
      <c r="L58" s="11"/>
      <c r="M58" s="144"/>
    </row>
    <row r="59" spans="1:14" ht="12.6">
      <c r="A59" s="383" t="s">
        <v>530</v>
      </c>
      <c r="B59" s="22" t="s">
        <v>531</v>
      </c>
      <c r="C59" s="22" t="s">
        <v>4</v>
      </c>
      <c r="D59" s="358" t="s">
        <v>4</v>
      </c>
      <c r="E59" s="359"/>
      <c r="F59" s="359"/>
      <c r="G59" s="359"/>
      <c r="H59" s="359"/>
      <c r="I59" s="359"/>
      <c r="J59" s="359"/>
      <c r="K59" s="359"/>
      <c r="L59" s="359"/>
      <c r="M59" s="360"/>
    </row>
    <row r="60" spans="1:14" ht="12.6">
      <c r="A60" s="357"/>
      <c r="B60" s="11" t="s">
        <v>4</v>
      </c>
      <c r="C60" s="23" t="s">
        <v>4</v>
      </c>
      <c r="D60" s="361"/>
      <c r="E60" s="362"/>
      <c r="F60" s="362"/>
      <c r="G60" s="362"/>
      <c r="H60" s="362"/>
      <c r="I60" s="362"/>
      <c r="J60" s="362"/>
      <c r="K60" s="362"/>
      <c r="L60" s="362"/>
      <c r="M60" s="363"/>
    </row>
    <row r="61" spans="1:14" ht="12.6">
      <c r="A61" s="18"/>
      <c r="B61" s="18"/>
      <c r="C61" s="18"/>
      <c r="D61" s="18"/>
      <c r="E61" s="18"/>
      <c r="F61" s="18"/>
      <c r="G61" s="18"/>
      <c r="H61" s="18"/>
      <c r="I61" s="18"/>
      <c r="J61" s="18"/>
      <c r="K61" s="18"/>
      <c r="L61" s="18"/>
      <c r="M61" s="18"/>
    </row>
    <row r="62" spans="1:14" ht="45.95">
      <c r="A62" s="19" t="s">
        <v>532</v>
      </c>
      <c r="B62" s="20" t="s">
        <v>533</v>
      </c>
      <c r="C62" s="133" t="s">
        <v>4</v>
      </c>
      <c r="D62" s="141" t="s">
        <v>495</v>
      </c>
      <c r="E62" s="148" t="s">
        <v>506</v>
      </c>
      <c r="F62" s="141" t="s">
        <v>615</v>
      </c>
      <c r="G62" s="240" t="s">
        <v>507</v>
      </c>
      <c r="H62" s="143" t="s">
        <v>508</v>
      </c>
      <c r="I62" s="162" t="s">
        <v>509</v>
      </c>
      <c r="J62" s="143" t="s">
        <v>510</v>
      </c>
      <c r="K62" s="141" t="s">
        <v>511</v>
      </c>
      <c r="L62" s="162" t="s">
        <v>616</v>
      </c>
      <c r="M62" s="89" t="s">
        <v>496</v>
      </c>
    </row>
    <row r="63" spans="1:14" ht="20.25" customHeight="1">
      <c r="A63" s="364" t="s">
        <v>534</v>
      </c>
      <c r="B63" s="350" t="s">
        <v>535</v>
      </c>
      <c r="C63" s="11" t="s">
        <v>498</v>
      </c>
      <c r="D63" s="11">
        <v>24</v>
      </c>
      <c r="E63" s="238">
        <v>74</v>
      </c>
      <c r="F63" s="258">
        <v>64</v>
      </c>
      <c r="G63" s="11">
        <v>34</v>
      </c>
      <c r="H63" s="11">
        <v>44</v>
      </c>
      <c r="I63" s="11">
        <v>44</v>
      </c>
      <c r="J63" s="11">
        <v>48</v>
      </c>
      <c r="K63" s="11">
        <v>64</v>
      </c>
      <c r="L63" s="11">
        <v>64</v>
      </c>
      <c r="M63" s="325" t="s">
        <v>620</v>
      </c>
    </row>
    <row r="64" spans="1:14" ht="12.95" customHeight="1">
      <c r="A64" s="365"/>
      <c r="B64" s="351"/>
      <c r="C64" s="11" t="s">
        <v>500</v>
      </c>
      <c r="D64" s="152" t="s">
        <v>4</v>
      </c>
      <c r="E64" s="152"/>
      <c r="F64" s="152"/>
      <c r="G64" s="156">
        <v>32</v>
      </c>
      <c r="H64" s="156">
        <v>35</v>
      </c>
      <c r="I64" s="156">
        <v>35</v>
      </c>
      <c r="J64" s="156">
        <v>33</v>
      </c>
      <c r="K64" s="156">
        <v>39</v>
      </c>
      <c r="L64" s="156">
        <v>39</v>
      </c>
      <c r="M64" s="326"/>
    </row>
    <row r="65" spans="1:13" ht="12.95" customHeight="1">
      <c r="A65" s="365"/>
      <c r="B65" s="352"/>
      <c r="C65" s="14" t="s">
        <v>4</v>
      </c>
      <c r="D65" s="126" t="s">
        <v>501</v>
      </c>
      <c r="E65" s="127"/>
      <c r="F65" s="127"/>
      <c r="G65" s="127"/>
      <c r="H65" s="127"/>
      <c r="I65" s="127"/>
      <c r="J65" s="127"/>
      <c r="K65" s="127"/>
      <c r="L65" s="127"/>
      <c r="M65" s="326"/>
    </row>
    <row r="66" spans="1:13" ht="12.95" customHeight="1">
      <c r="A66" s="365"/>
      <c r="B66" s="130"/>
      <c r="C66" s="14"/>
      <c r="D66" s="124" t="s">
        <v>184</v>
      </c>
      <c r="E66" s="125"/>
      <c r="F66" s="241"/>
      <c r="G66" s="125"/>
      <c r="H66" s="125"/>
      <c r="I66" s="125"/>
      <c r="J66" s="125"/>
      <c r="K66" s="125"/>
      <c r="L66" s="125"/>
      <c r="M66" s="327"/>
    </row>
    <row r="67" spans="1:13" ht="45.95">
      <c r="A67" s="365"/>
      <c r="B67" s="9" t="s">
        <v>536</v>
      </c>
      <c r="C67" s="16" t="s">
        <v>4</v>
      </c>
      <c r="D67" s="139" t="s">
        <v>495</v>
      </c>
      <c r="E67" s="148" t="s">
        <v>506</v>
      </c>
      <c r="F67" s="141" t="s">
        <v>615</v>
      </c>
      <c r="G67" s="240" t="s">
        <v>507</v>
      </c>
      <c r="H67" s="143" t="s">
        <v>508</v>
      </c>
      <c r="I67" s="162" t="s">
        <v>509</v>
      </c>
      <c r="J67" s="143" t="s">
        <v>510</v>
      </c>
      <c r="K67" s="141" t="s">
        <v>511</v>
      </c>
      <c r="L67" s="162" t="s">
        <v>616</v>
      </c>
      <c r="M67" s="84" t="s">
        <v>496</v>
      </c>
    </row>
    <row r="68" spans="1:13" ht="12.95" customHeight="1">
      <c r="A68" s="365"/>
      <c r="B68" s="350" t="s">
        <v>537</v>
      </c>
      <c r="C68" s="25" t="s">
        <v>498</v>
      </c>
      <c r="D68" s="166">
        <v>14938</v>
      </c>
      <c r="E68" s="165" t="e">
        <f>SUM(G68+H68+J68+K68+#REF!)</f>
        <v>#REF!</v>
      </c>
      <c r="F68" s="244">
        <f>G68+H68+J68+K68</f>
        <v>65744</v>
      </c>
      <c r="G68" s="166">
        <v>15386</v>
      </c>
      <c r="H68" s="166">
        <v>16386</v>
      </c>
      <c r="I68" s="166">
        <f>SUM(G68:H68)</f>
        <v>31772</v>
      </c>
      <c r="J68" s="166">
        <v>16986</v>
      </c>
      <c r="K68" s="166">
        <v>16986</v>
      </c>
      <c r="L68" s="166">
        <f>SUM(J68:K68)</f>
        <v>33972</v>
      </c>
      <c r="M68" s="323" t="s">
        <v>618</v>
      </c>
    </row>
    <row r="69" spans="1:13" ht="12.95" customHeight="1">
      <c r="A69" s="365"/>
      <c r="B69" s="351"/>
      <c r="C69" s="24" t="s">
        <v>500</v>
      </c>
      <c r="D69" s="152" t="s">
        <v>4</v>
      </c>
      <c r="E69" s="152"/>
      <c r="F69" s="160"/>
      <c r="G69" s="160">
        <v>9169</v>
      </c>
      <c r="H69" s="160">
        <v>8214</v>
      </c>
      <c r="I69" s="160">
        <f>G69+H69</f>
        <v>17383</v>
      </c>
      <c r="J69" s="160">
        <v>9275</v>
      </c>
      <c r="K69" s="156">
        <v>9572</v>
      </c>
      <c r="L69" s="160">
        <f>J69+K69</f>
        <v>18847</v>
      </c>
      <c r="M69" s="324"/>
    </row>
    <row r="70" spans="1:13" ht="12.95" customHeight="1">
      <c r="A70" s="365"/>
      <c r="B70" s="351"/>
      <c r="C70" s="14" t="s">
        <v>4</v>
      </c>
      <c r="D70" s="126" t="s">
        <v>501</v>
      </c>
      <c r="E70" s="127"/>
      <c r="F70" s="127"/>
      <c r="G70" s="127"/>
      <c r="H70" s="127"/>
      <c r="I70" s="127"/>
      <c r="J70" s="127"/>
      <c r="K70" s="127"/>
      <c r="L70" s="127"/>
      <c r="M70" s="324"/>
    </row>
    <row r="71" spans="1:13" ht="12.95" customHeight="1">
      <c r="A71" s="365"/>
      <c r="B71" s="352"/>
      <c r="C71" s="16" t="s">
        <v>4</v>
      </c>
      <c r="D71" s="124" t="s">
        <v>184</v>
      </c>
      <c r="E71" s="125"/>
      <c r="F71" s="241"/>
      <c r="G71" s="125"/>
      <c r="H71" s="125"/>
      <c r="I71" s="125"/>
      <c r="J71" s="125"/>
      <c r="K71" s="125"/>
      <c r="L71" s="261">
        <f>I69+L69</f>
        <v>36230</v>
      </c>
      <c r="M71" s="402"/>
    </row>
    <row r="72" spans="1:13" ht="45.95">
      <c r="A72" s="365"/>
      <c r="B72" s="9" t="s">
        <v>539</v>
      </c>
      <c r="C72" s="9" t="s">
        <v>4</v>
      </c>
      <c r="D72" s="139" t="s">
        <v>495</v>
      </c>
      <c r="E72" s="148" t="s">
        <v>506</v>
      </c>
      <c r="F72" s="141" t="s">
        <v>615</v>
      </c>
      <c r="G72" s="240" t="s">
        <v>507</v>
      </c>
      <c r="H72" s="143" t="s">
        <v>508</v>
      </c>
      <c r="I72" s="162" t="s">
        <v>509</v>
      </c>
      <c r="J72" s="143" t="s">
        <v>510</v>
      </c>
      <c r="K72" s="141" t="s">
        <v>511</v>
      </c>
      <c r="L72" s="162" t="s">
        <v>616</v>
      </c>
      <c r="M72" s="84" t="s">
        <v>496</v>
      </c>
    </row>
    <row r="73" spans="1:13" ht="19.5" customHeight="1">
      <c r="A73" s="365"/>
      <c r="B73" s="350" t="s">
        <v>540</v>
      </c>
      <c r="C73" s="25" t="s">
        <v>498</v>
      </c>
      <c r="D73" s="166">
        <v>28240</v>
      </c>
      <c r="E73" s="245">
        <v>30423</v>
      </c>
      <c r="F73" s="244">
        <f>22869*80%</f>
        <v>18295.2</v>
      </c>
      <c r="G73" s="166">
        <v>28664</v>
      </c>
      <c r="H73" s="166">
        <v>29094</v>
      </c>
      <c r="I73" s="166">
        <f>SUM(G73:H73)</f>
        <v>57758</v>
      </c>
      <c r="J73" s="166">
        <v>29530</v>
      </c>
      <c r="K73" s="193">
        <f>22869*80%</f>
        <v>18295.2</v>
      </c>
      <c r="L73" s="166">
        <f>SUM(J73:K73)</f>
        <v>47825.2</v>
      </c>
      <c r="M73" s="323" t="s">
        <v>621</v>
      </c>
    </row>
    <row r="74" spans="1:13" ht="12.95" customHeight="1">
      <c r="A74" s="365"/>
      <c r="B74" s="351"/>
      <c r="C74" s="24" t="s">
        <v>500</v>
      </c>
      <c r="D74" s="152" t="s">
        <v>4</v>
      </c>
      <c r="E74" s="152"/>
      <c r="F74" s="167"/>
      <c r="G74" s="164">
        <v>19954</v>
      </c>
      <c r="H74" s="164">
        <v>18930</v>
      </c>
      <c r="I74" s="164">
        <f>SUM(G74:H74)</f>
        <v>38884</v>
      </c>
      <c r="J74" s="164">
        <v>20867</v>
      </c>
      <c r="K74" s="156">
        <v>19953</v>
      </c>
      <c r="L74" s="164">
        <f>SUM(J74:K74)</f>
        <v>40820</v>
      </c>
      <c r="M74" s="324"/>
    </row>
    <row r="75" spans="1:13" ht="12.95" customHeight="1">
      <c r="A75" s="365"/>
      <c r="B75" s="351"/>
      <c r="C75" s="14" t="s">
        <v>4</v>
      </c>
      <c r="D75" s="126" t="s">
        <v>501</v>
      </c>
      <c r="E75" s="127"/>
      <c r="F75" s="161"/>
      <c r="G75" s="127"/>
      <c r="H75" s="127"/>
      <c r="I75" s="161"/>
      <c r="J75" s="161">
        <f>J74/J73</f>
        <v>0.70663731798171348</v>
      </c>
      <c r="K75" s="161"/>
      <c r="L75" s="161"/>
      <c r="M75" s="324"/>
    </row>
    <row r="76" spans="1:13" ht="12.95" customHeight="1">
      <c r="A76" s="365"/>
      <c r="B76" s="352"/>
      <c r="C76" s="16" t="s">
        <v>4</v>
      </c>
      <c r="D76" s="124" t="s">
        <v>184</v>
      </c>
      <c r="E76" s="125"/>
      <c r="F76" s="241"/>
      <c r="G76" s="125"/>
      <c r="H76" s="125"/>
      <c r="I76" s="125"/>
      <c r="J76" s="125"/>
      <c r="K76" s="125"/>
      <c r="L76" s="125"/>
      <c r="M76" s="402"/>
    </row>
    <row r="77" spans="1:13" ht="45.95">
      <c r="A77" s="365"/>
      <c r="B77" s="9" t="s">
        <v>541</v>
      </c>
      <c r="C77" s="9" t="s">
        <v>4</v>
      </c>
      <c r="D77" s="139" t="s">
        <v>495</v>
      </c>
      <c r="E77" s="148" t="s">
        <v>506</v>
      </c>
      <c r="F77" s="141" t="s">
        <v>615</v>
      </c>
      <c r="G77" s="240" t="s">
        <v>507</v>
      </c>
      <c r="H77" s="143" t="s">
        <v>508</v>
      </c>
      <c r="I77" s="162" t="s">
        <v>509</v>
      </c>
      <c r="J77" s="143" t="s">
        <v>510</v>
      </c>
      <c r="K77" s="141" t="s">
        <v>511</v>
      </c>
      <c r="L77" s="162" t="s">
        <v>616</v>
      </c>
      <c r="M77" s="84" t="s">
        <v>496</v>
      </c>
    </row>
    <row r="78" spans="1:13" ht="19.5" customHeight="1">
      <c r="A78" s="365"/>
      <c r="B78" s="350" t="s">
        <v>244</v>
      </c>
      <c r="C78" s="25" t="s">
        <v>498</v>
      </c>
      <c r="D78" s="166">
        <v>13721</v>
      </c>
      <c r="E78" s="245">
        <v>14781</v>
      </c>
      <c r="F78" s="244">
        <v>14563</v>
      </c>
      <c r="G78" s="166">
        <v>13927</v>
      </c>
      <c r="H78" s="166">
        <v>14136</v>
      </c>
      <c r="I78" s="166">
        <f>SUM(G78:H78)</f>
        <v>28063</v>
      </c>
      <c r="J78" s="166">
        <v>14348</v>
      </c>
      <c r="K78" s="166">
        <v>14563</v>
      </c>
      <c r="L78" s="166">
        <f>SUM(J78:K78)</f>
        <v>28911</v>
      </c>
      <c r="M78" s="328" t="s">
        <v>618</v>
      </c>
    </row>
    <row r="79" spans="1:13" ht="12.95" customHeight="1">
      <c r="A79" s="365"/>
      <c r="B79" s="351"/>
      <c r="C79" s="24" t="s">
        <v>500</v>
      </c>
      <c r="D79" s="152" t="s">
        <v>4</v>
      </c>
      <c r="E79" s="152"/>
      <c r="F79" s="167"/>
      <c r="G79" s="164">
        <v>12535</v>
      </c>
      <c r="H79" s="164">
        <v>12631</v>
      </c>
      <c r="I79" s="164">
        <f>SUM(G79:H79)</f>
        <v>25166</v>
      </c>
      <c r="J79" s="164">
        <v>14077</v>
      </c>
      <c r="K79" s="156">
        <v>14605</v>
      </c>
      <c r="L79" s="164">
        <f>SUM(J79:K79)</f>
        <v>28682</v>
      </c>
      <c r="M79" s="329"/>
    </row>
    <row r="80" spans="1:13" ht="12.95" customHeight="1">
      <c r="A80" s="365"/>
      <c r="B80" s="352"/>
      <c r="C80" s="14" t="s">
        <v>4</v>
      </c>
      <c r="D80" s="126" t="s">
        <v>501</v>
      </c>
      <c r="E80" s="127"/>
      <c r="F80" s="127"/>
      <c r="G80" s="127"/>
      <c r="H80" s="127"/>
      <c r="I80" s="127"/>
      <c r="J80" s="127"/>
      <c r="K80" s="127"/>
      <c r="L80" s="127"/>
      <c r="M80" s="329"/>
    </row>
    <row r="81" spans="1:13" ht="12.95" customHeight="1">
      <c r="A81" s="365"/>
      <c r="B81" s="81"/>
      <c r="C81" s="16" t="s">
        <v>4</v>
      </c>
      <c r="D81" s="124" t="s">
        <v>184</v>
      </c>
      <c r="E81" s="125"/>
      <c r="F81" s="241"/>
      <c r="G81" s="125"/>
      <c r="H81" s="125"/>
      <c r="I81" s="125"/>
      <c r="J81" s="125"/>
      <c r="K81" s="125"/>
      <c r="L81" s="125"/>
      <c r="M81" s="330"/>
    </row>
    <row r="82" spans="1:13" ht="45.95">
      <c r="A82" s="365"/>
      <c r="B82" s="7" t="s">
        <v>542</v>
      </c>
      <c r="C82" s="9" t="s">
        <v>4</v>
      </c>
      <c r="D82" s="139" t="s">
        <v>495</v>
      </c>
      <c r="E82" s="148" t="s">
        <v>506</v>
      </c>
      <c r="F82" s="141" t="s">
        <v>615</v>
      </c>
      <c r="G82" s="240" t="s">
        <v>507</v>
      </c>
      <c r="H82" s="143" t="s">
        <v>508</v>
      </c>
      <c r="I82" s="162" t="s">
        <v>509</v>
      </c>
      <c r="J82" s="143" t="s">
        <v>510</v>
      </c>
      <c r="K82" s="141" t="s">
        <v>511</v>
      </c>
      <c r="L82" s="162" t="s">
        <v>616</v>
      </c>
      <c r="M82" s="84" t="s">
        <v>496</v>
      </c>
    </row>
    <row r="83" spans="1:13" ht="20.25" customHeight="1">
      <c r="A83" s="365"/>
      <c r="B83" s="350" t="s">
        <v>248</v>
      </c>
      <c r="C83" s="25" t="s">
        <v>498</v>
      </c>
      <c r="D83" s="11">
        <v>55</v>
      </c>
      <c r="E83" s="149">
        <v>500</v>
      </c>
      <c r="F83" s="259">
        <f>G83+H83+J83+K83</f>
        <v>400</v>
      </c>
      <c r="G83" s="11">
        <v>100</v>
      </c>
      <c r="H83" s="11">
        <v>100</v>
      </c>
      <c r="I83" s="11">
        <v>100</v>
      </c>
      <c r="J83" s="11">
        <v>100</v>
      </c>
      <c r="K83" s="11">
        <v>100</v>
      </c>
      <c r="L83" s="11">
        <v>200</v>
      </c>
      <c r="M83" s="328" t="s">
        <v>618</v>
      </c>
    </row>
    <row r="84" spans="1:13" ht="15" customHeight="1">
      <c r="A84" s="365"/>
      <c r="B84" s="351"/>
      <c r="C84" s="24" t="s">
        <v>500</v>
      </c>
      <c r="D84" s="152" t="s">
        <v>4</v>
      </c>
      <c r="E84" s="152"/>
      <c r="F84" s="152"/>
      <c r="G84" s="156">
        <v>46</v>
      </c>
      <c r="H84" s="156">
        <v>50</v>
      </c>
      <c r="I84" s="189">
        <f>SUM(G84:H84)</f>
        <v>96</v>
      </c>
      <c r="J84" s="156">
        <v>296</v>
      </c>
      <c r="K84" s="149">
        <v>184</v>
      </c>
      <c r="L84" s="264">
        <f>J84+K84</f>
        <v>480</v>
      </c>
      <c r="M84" s="329"/>
    </row>
    <row r="85" spans="1:13" ht="15" customHeight="1">
      <c r="A85" s="365"/>
      <c r="B85" s="352"/>
      <c r="C85" s="14" t="s">
        <v>4</v>
      </c>
      <c r="D85" s="126" t="s">
        <v>501</v>
      </c>
      <c r="E85" s="127"/>
      <c r="F85" s="127"/>
      <c r="G85" s="127"/>
      <c r="H85" s="127"/>
      <c r="I85" s="127"/>
      <c r="J85" s="127"/>
      <c r="K85" s="127"/>
      <c r="L85" s="127"/>
      <c r="M85" s="329"/>
    </row>
    <row r="86" spans="1:13" ht="12.6">
      <c r="A86" s="366"/>
      <c r="B86" s="72" t="s">
        <v>4</v>
      </c>
      <c r="C86" s="16" t="s">
        <v>4</v>
      </c>
      <c r="D86" s="124" t="s">
        <v>622</v>
      </c>
      <c r="E86" s="125"/>
      <c r="F86" s="125"/>
      <c r="G86" s="125"/>
      <c r="H86" s="125"/>
      <c r="I86" s="125"/>
      <c r="J86" s="125"/>
      <c r="K86" s="125"/>
      <c r="L86" s="125"/>
      <c r="M86" s="330"/>
    </row>
    <row r="87" spans="1:13" ht="12.6" customHeight="1">
      <c r="A87" s="356" t="s">
        <v>527</v>
      </c>
      <c r="B87" s="22" t="s">
        <v>528</v>
      </c>
      <c r="C87" s="22" t="s">
        <v>4</v>
      </c>
      <c r="D87" s="22" t="s">
        <v>529</v>
      </c>
      <c r="E87" s="22"/>
      <c r="F87" s="22"/>
      <c r="G87" s="22"/>
      <c r="H87" s="22"/>
      <c r="I87" s="22"/>
      <c r="J87" s="22"/>
      <c r="K87" s="22"/>
      <c r="L87" s="22"/>
      <c r="M87" s="146"/>
    </row>
    <row r="88" spans="1:13" ht="12.6">
      <c r="A88" s="357"/>
      <c r="B88" s="11" t="s">
        <v>4</v>
      </c>
      <c r="C88" s="11" t="s">
        <v>4</v>
      </c>
      <c r="D88" s="11" t="s">
        <v>4</v>
      </c>
      <c r="E88" s="11"/>
      <c r="F88" s="11"/>
      <c r="G88" s="11"/>
      <c r="H88" s="11"/>
      <c r="I88" s="11"/>
      <c r="J88" s="11"/>
      <c r="K88" s="11"/>
      <c r="L88" s="11"/>
      <c r="M88" s="144"/>
    </row>
    <row r="89" spans="1:13" ht="12.6">
      <c r="A89" s="356" t="s">
        <v>530</v>
      </c>
      <c r="B89" s="22" t="s">
        <v>531</v>
      </c>
      <c r="C89" s="22" t="s">
        <v>4</v>
      </c>
      <c r="D89" s="358" t="s">
        <v>4</v>
      </c>
      <c r="E89" s="359"/>
      <c r="F89" s="359"/>
      <c r="G89" s="359"/>
      <c r="H89" s="359"/>
      <c r="I89" s="359"/>
      <c r="J89" s="359"/>
      <c r="K89" s="359"/>
      <c r="L89" s="359"/>
      <c r="M89" s="360"/>
    </row>
    <row r="90" spans="1:13" ht="12.6">
      <c r="A90" s="357"/>
      <c r="B90" s="11" t="s">
        <v>4</v>
      </c>
      <c r="C90" s="23" t="s">
        <v>4</v>
      </c>
      <c r="D90" s="361"/>
      <c r="E90" s="362"/>
      <c r="F90" s="362"/>
      <c r="G90" s="362"/>
      <c r="H90" s="362"/>
      <c r="I90" s="362"/>
      <c r="J90" s="362"/>
      <c r="K90" s="362"/>
      <c r="L90" s="362"/>
      <c r="M90" s="363"/>
    </row>
    <row r="91" spans="1:13" ht="12.6">
      <c r="A91" s="18"/>
      <c r="B91" s="18"/>
      <c r="C91" s="18"/>
      <c r="D91" s="18"/>
      <c r="E91" s="18"/>
      <c r="F91" s="18"/>
      <c r="G91" s="18"/>
      <c r="H91" s="18"/>
      <c r="I91" s="18"/>
      <c r="J91" s="18"/>
      <c r="K91" s="18"/>
      <c r="L91" s="18"/>
      <c r="M91" s="18"/>
    </row>
    <row r="92" spans="1:13" ht="12.6">
      <c r="A92" s="18"/>
      <c r="B92" s="18"/>
      <c r="C92" s="18"/>
      <c r="D92" s="18"/>
      <c r="E92" s="18"/>
      <c r="F92" s="18"/>
      <c r="G92" s="18"/>
      <c r="H92" s="18"/>
      <c r="I92" s="18"/>
      <c r="J92" s="18"/>
      <c r="K92" s="18"/>
      <c r="L92" s="18"/>
      <c r="M92" s="18"/>
    </row>
    <row r="93" spans="1:13" ht="45.95">
      <c r="A93" s="19" t="s">
        <v>546</v>
      </c>
      <c r="B93" s="20" t="s">
        <v>547</v>
      </c>
      <c r="C93" s="142" t="s">
        <v>4</v>
      </c>
      <c r="D93" s="141" t="s">
        <v>495</v>
      </c>
      <c r="E93" s="148" t="s">
        <v>506</v>
      </c>
      <c r="F93" s="141" t="s">
        <v>615</v>
      </c>
      <c r="G93" s="240" t="s">
        <v>507</v>
      </c>
      <c r="H93" s="143" t="s">
        <v>508</v>
      </c>
      <c r="I93" s="162" t="s">
        <v>509</v>
      </c>
      <c r="J93" s="143" t="s">
        <v>510</v>
      </c>
      <c r="K93" s="141" t="s">
        <v>511</v>
      </c>
      <c r="L93" s="162" t="s">
        <v>616</v>
      </c>
      <c r="M93" s="89" t="s">
        <v>496</v>
      </c>
    </row>
    <row r="94" spans="1:13" ht="39" customHeight="1">
      <c r="A94" s="387" t="s">
        <v>548</v>
      </c>
      <c r="B94" s="350" t="s">
        <v>549</v>
      </c>
      <c r="C94" s="25" t="s">
        <v>498</v>
      </c>
      <c r="D94" s="85" t="s">
        <v>550</v>
      </c>
      <c r="E94" s="150" t="s">
        <v>551</v>
      </c>
      <c r="F94" s="150">
        <v>7.8E-2</v>
      </c>
      <c r="G94" s="85" t="s">
        <v>552</v>
      </c>
      <c r="H94" s="85" t="s">
        <v>553</v>
      </c>
      <c r="I94" s="85">
        <v>8.2000000000000003E-2</v>
      </c>
      <c r="J94" s="153">
        <v>0.08</v>
      </c>
      <c r="K94" s="85" t="s">
        <v>551</v>
      </c>
      <c r="L94" s="85">
        <v>7.8E-2</v>
      </c>
      <c r="M94" s="328" t="s">
        <v>618</v>
      </c>
    </row>
    <row r="95" spans="1:13" ht="12.95" customHeight="1">
      <c r="A95" s="388"/>
      <c r="B95" s="351"/>
      <c r="C95" s="24" t="s">
        <v>500</v>
      </c>
      <c r="D95" s="152" t="s">
        <v>4</v>
      </c>
      <c r="E95" s="152"/>
      <c r="F95" s="152"/>
      <c r="G95" s="158">
        <f>(29816-26660)/29816</f>
        <v>0.10584920847866917</v>
      </c>
      <c r="H95" s="158">
        <f>(29305-26879)/29305</f>
        <v>8.2784507763180346E-2</v>
      </c>
      <c r="I95" s="168">
        <f>(59121-53539)/59121</f>
        <v>9.4416535579574093E-2</v>
      </c>
      <c r="J95" s="157">
        <f>(32077-27450)/32077</f>
        <v>0.14424665648283816</v>
      </c>
      <c r="K95" s="157">
        <f>(36540-32221)/36540</f>
        <v>0.1181992337164751</v>
      </c>
      <c r="L95" s="168">
        <f>(68617-59671)/68617</f>
        <v>0.13037585438010987</v>
      </c>
      <c r="M95" s="329"/>
    </row>
    <row r="96" spans="1:13" ht="12.95" customHeight="1">
      <c r="A96" s="388"/>
      <c r="B96" s="351"/>
      <c r="C96" s="14" t="s">
        <v>4</v>
      </c>
      <c r="D96" s="126" t="s">
        <v>501</v>
      </c>
      <c r="E96" s="127"/>
      <c r="F96" s="127"/>
      <c r="G96" s="127"/>
      <c r="H96" s="161"/>
      <c r="I96" s="161"/>
      <c r="J96" s="127"/>
      <c r="K96" s="127"/>
      <c r="L96" s="161"/>
      <c r="M96" s="329"/>
    </row>
    <row r="97" spans="1:15" ht="12.95" customHeight="1">
      <c r="A97" s="388"/>
      <c r="B97" s="352"/>
      <c r="C97" s="16" t="s">
        <v>4</v>
      </c>
      <c r="D97" s="124" t="s">
        <v>184</v>
      </c>
      <c r="E97" s="125"/>
      <c r="F97" s="241"/>
      <c r="G97" s="125"/>
      <c r="H97" s="125"/>
      <c r="I97" s="125"/>
      <c r="J97" s="125"/>
      <c r="K97" s="125"/>
      <c r="L97" s="125"/>
      <c r="M97" s="330"/>
    </row>
    <row r="98" spans="1:15" ht="45.95">
      <c r="A98" s="388"/>
      <c r="B98" s="9" t="s">
        <v>555</v>
      </c>
      <c r="C98" s="9"/>
      <c r="D98" s="139" t="s">
        <v>495</v>
      </c>
      <c r="E98" s="148" t="s">
        <v>506</v>
      </c>
      <c r="F98" s="141" t="s">
        <v>615</v>
      </c>
      <c r="G98" s="240" t="s">
        <v>507</v>
      </c>
      <c r="H98" s="143" t="s">
        <v>508</v>
      </c>
      <c r="I98" s="162" t="s">
        <v>509</v>
      </c>
      <c r="J98" s="143" t="s">
        <v>510</v>
      </c>
      <c r="K98" s="141" t="s">
        <v>511</v>
      </c>
      <c r="L98" s="162" t="s">
        <v>616</v>
      </c>
      <c r="M98" s="84" t="s">
        <v>496</v>
      </c>
    </row>
    <row r="99" spans="1:15" ht="21" customHeight="1" thickBot="1">
      <c r="A99" s="388"/>
      <c r="B99" s="350" t="s">
        <v>257</v>
      </c>
      <c r="C99" s="25" t="s">
        <v>498</v>
      </c>
      <c r="D99" s="147">
        <v>82896</v>
      </c>
      <c r="E99" s="246" t="e">
        <f>SUM(G99+H99+J99+K99+#REF!)</f>
        <v>#REF!</v>
      </c>
      <c r="F99" s="239">
        <f>G99+H99+J99+K99</f>
        <v>147563</v>
      </c>
      <c r="G99" s="231">
        <f>72689/2</f>
        <v>36344.5</v>
      </c>
      <c r="H99" s="231">
        <f>72689/2</f>
        <v>36344.5</v>
      </c>
      <c r="I99" s="231">
        <f>G99+H99</f>
        <v>72689</v>
      </c>
      <c r="J99" s="231">
        <f>74874/2</f>
        <v>37437</v>
      </c>
      <c r="K99" s="11">
        <f>J99</f>
        <v>37437</v>
      </c>
      <c r="L99" s="93">
        <f>J99+K99</f>
        <v>74874</v>
      </c>
      <c r="M99" s="328" t="s">
        <v>618</v>
      </c>
    </row>
    <row r="100" spans="1:15" ht="12.95" customHeight="1" thickBot="1">
      <c r="A100" s="388"/>
      <c r="B100" s="351"/>
      <c r="C100" s="24" t="s">
        <v>500</v>
      </c>
      <c r="D100" s="152" t="s">
        <v>4</v>
      </c>
      <c r="E100" s="152"/>
      <c r="F100" s="260">
        <f>G100+H100+J100+K100</f>
        <v>169775</v>
      </c>
      <c r="G100" s="167">
        <v>45497</v>
      </c>
      <c r="H100" s="167">
        <f>19871+17685</f>
        <v>37556</v>
      </c>
      <c r="I100" s="191">
        <f>H100+G100</f>
        <v>83053</v>
      </c>
      <c r="J100" s="191">
        <v>41165</v>
      </c>
      <c r="K100" s="149">
        <v>45557</v>
      </c>
      <c r="L100" s="265">
        <v>86722</v>
      </c>
      <c r="M100" s="329"/>
      <c r="O100" s="230">
        <f>I100/I99*100</f>
        <v>114.25800327422306</v>
      </c>
    </row>
    <row r="101" spans="1:15" ht="12.95" customHeight="1" thickBot="1">
      <c r="A101" s="388"/>
      <c r="B101" s="351"/>
      <c r="C101" s="14" t="s">
        <v>4</v>
      </c>
      <c r="D101" s="126" t="s">
        <v>501</v>
      </c>
      <c r="E101" s="127"/>
      <c r="F101" s="127"/>
      <c r="G101" s="127"/>
      <c r="H101" s="127"/>
      <c r="I101" s="127"/>
      <c r="J101" s="127"/>
      <c r="K101" s="127"/>
      <c r="L101" s="127"/>
      <c r="M101" s="329"/>
    </row>
    <row r="102" spans="1:15" ht="12.95" customHeight="1" thickBot="1">
      <c r="A102" s="388"/>
      <c r="B102" s="352"/>
      <c r="C102" s="16" t="s">
        <v>4</v>
      </c>
      <c r="D102" s="124" t="s">
        <v>197</v>
      </c>
      <c r="E102" s="125"/>
      <c r="F102" s="241"/>
      <c r="G102" s="125"/>
      <c r="H102" s="125"/>
      <c r="I102" s="125"/>
      <c r="J102" s="125"/>
      <c r="K102" s="125"/>
      <c r="L102" s="125"/>
      <c r="M102" s="330"/>
    </row>
    <row r="103" spans="1:15" ht="45.95">
      <c r="A103" s="388"/>
      <c r="B103" s="48" t="s">
        <v>556</v>
      </c>
      <c r="C103" s="9" t="s">
        <v>4</v>
      </c>
      <c r="D103" s="139" t="s">
        <v>495</v>
      </c>
      <c r="E103" s="148" t="s">
        <v>506</v>
      </c>
      <c r="F103" s="141" t="s">
        <v>615</v>
      </c>
      <c r="G103" s="240" t="s">
        <v>507</v>
      </c>
      <c r="H103" s="143" t="s">
        <v>508</v>
      </c>
      <c r="I103" s="162" t="s">
        <v>509</v>
      </c>
      <c r="J103" s="143" t="s">
        <v>510</v>
      </c>
      <c r="K103" s="141" t="s">
        <v>511</v>
      </c>
      <c r="L103" s="162" t="s">
        <v>616</v>
      </c>
      <c r="M103" s="84" t="s">
        <v>496</v>
      </c>
    </row>
    <row r="104" spans="1:15" ht="20.25" customHeight="1">
      <c r="A104" s="388"/>
      <c r="B104" s="350" t="s">
        <v>557</v>
      </c>
      <c r="C104" s="25" t="s">
        <v>498</v>
      </c>
      <c r="D104" s="166">
        <v>19195</v>
      </c>
      <c r="E104" s="245">
        <v>21193</v>
      </c>
      <c r="F104" s="239">
        <v>20777</v>
      </c>
      <c r="G104" s="166">
        <v>19579</v>
      </c>
      <c r="H104" s="166">
        <v>19970</v>
      </c>
      <c r="I104" s="166">
        <f>SUM(G104:H104)</f>
        <v>39549</v>
      </c>
      <c r="J104" s="166">
        <v>20370</v>
      </c>
      <c r="K104" s="166">
        <v>20777</v>
      </c>
      <c r="L104" s="166">
        <f>SUM(J104:K104)</f>
        <v>41147</v>
      </c>
      <c r="M104" s="328" t="s">
        <v>623</v>
      </c>
    </row>
    <row r="105" spans="1:15" ht="12.95" customHeight="1">
      <c r="A105" s="388"/>
      <c r="B105" s="351"/>
      <c r="C105" s="24" t="s">
        <v>500</v>
      </c>
      <c r="D105" s="152"/>
      <c r="E105" s="152"/>
      <c r="F105" s="152"/>
      <c r="G105" s="167">
        <v>17098</v>
      </c>
      <c r="H105" s="167">
        <v>15139</v>
      </c>
      <c r="I105" s="167">
        <f>SUM(G105:H105)</f>
        <v>32237</v>
      </c>
      <c r="J105" s="167">
        <v>17760</v>
      </c>
      <c r="K105" s="156">
        <v>18440</v>
      </c>
      <c r="L105" s="167">
        <f>SUM(J105:K105)</f>
        <v>36200</v>
      </c>
      <c r="M105" s="329"/>
    </row>
    <row r="106" spans="1:15" ht="12.95" customHeight="1">
      <c r="A106" s="388"/>
      <c r="B106" s="351"/>
      <c r="C106" s="14" t="s">
        <v>4</v>
      </c>
      <c r="D106" s="126" t="s">
        <v>501</v>
      </c>
      <c r="E106" s="127"/>
      <c r="F106" s="127"/>
      <c r="G106" s="127"/>
      <c r="H106" s="127"/>
      <c r="I106" s="127"/>
      <c r="J106" s="127"/>
      <c r="K106" s="127"/>
      <c r="L106" s="127"/>
      <c r="M106" s="329"/>
      <c r="N106" s="328"/>
    </row>
    <row r="107" spans="1:15" ht="12.95" customHeight="1">
      <c r="A107" s="388"/>
      <c r="B107" s="352"/>
      <c r="C107" s="16" t="s">
        <v>4</v>
      </c>
      <c r="D107" s="124" t="s">
        <v>184</v>
      </c>
      <c r="E107" s="125"/>
      <c r="F107" s="241"/>
      <c r="G107" s="125"/>
      <c r="H107" s="125"/>
      <c r="I107" s="125"/>
      <c r="J107" s="125"/>
      <c r="K107" s="125"/>
      <c r="L107" s="125"/>
      <c r="M107" s="330"/>
      <c r="N107" s="329"/>
    </row>
    <row r="108" spans="1:15" ht="45.95">
      <c r="A108" s="388"/>
      <c r="B108" s="9" t="s">
        <v>558</v>
      </c>
      <c r="C108" s="9" t="s">
        <v>4</v>
      </c>
      <c r="D108" s="139" t="s">
        <v>495</v>
      </c>
      <c r="E108" s="148" t="s">
        <v>506</v>
      </c>
      <c r="F108" s="141" t="s">
        <v>615</v>
      </c>
      <c r="G108" s="240" t="s">
        <v>507</v>
      </c>
      <c r="H108" s="143" t="s">
        <v>508</v>
      </c>
      <c r="I108" s="162" t="s">
        <v>509</v>
      </c>
      <c r="J108" s="143" t="s">
        <v>510</v>
      </c>
      <c r="K108" s="141" t="s">
        <v>511</v>
      </c>
      <c r="L108" s="162" t="s">
        <v>616</v>
      </c>
      <c r="M108" s="84" t="s">
        <v>496</v>
      </c>
      <c r="N108" s="329"/>
    </row>
    <row r="109" spans="1:15" ht="21" customHeight="1">
      <c r="A109" s="388"/>
      <c r="B109" s="350" t="s">
        <v>262</v>
      </c>
      <c r="C109" s="25" t="s">
        <v>498</v>
      </c>
      <c r="D109" s="11">
        <v>15308</v>
      </c>
      <c r="E109" s="263">
        <v>81257</v>
      </c>
      <c r="F109" s="239">
        <f>G109+H109+J109+K109</f>
        <v>64356</v>
      </c>
      <c r="G109" s="231">
        <v>15615</v>
      </c>
      <c r="H109" s="231">
        <v>15926</v>
      </c>
      <c r="I109" s="231">
        <f>SUM(G109:H109)</f>
        <v>31541</v>
      </c>
      <c r="J109" s="231">
        <v>16245</v>
      </c>
      <c r="K109" s="11">
        <v>16570</v>
      </c>
      <c r="L109" s="231">
        <f>SUM(J109:K109)</f>
        <v>32815</v>
      </c>
      <c r="M109" s="473" t="s">
        <v>624</v>
      </c>
      <c r="N109" s="330"/>
    </row>
    <row r="110" spans="1:15" ht="12.75" customHeight="1">
      <c r="A110" s="388"/>
      <c r="B110" s="351"/>
      <c r="C110" s="24" t="s">
        <v>500</v>
      </c>
      <c r="D110" s="152"/>
      <c r="E110" s="152"/>
      <c r="F110" s="152"/>
      <c r="G110" s="167">
        <v>12377</v>
      </c>
      <c r="H110" s="167">
        <v>12323</v>
      </c>
      <c r="I110" s="167">
        <f>SUM(G110:H110)</f>
        <v>24700</v>
      </c>
      <c r="J110" s="167">
        <v>12029</v>
      </c>
      <c r="K110" s="156">
        <v>13561</v>
      </c>
      <c r="L110" s="167">
        <f>SUM(J110:K110)</f>
        <v>25590</v>
      </c>
      <c r="M110" s="329"/>
    </row>
    <row r="111" spans="1:15" ht="12.75" customHeight="1">
      <c r="A111" s="388"/>
      <c r="B111" s="351"/>
      <c r="C111" s="14" t="s">
        <v>4</v>
      </c>
      <c r="D111" s="126" t="s">
        <v>501</v>
      </c>
      <c r="E111" s="127"/>
      <c r="F111" s="127"/>
      <c r="G111" s="127"/>
      <c r="H111" s="127"/>
      <c r="I111" s="127"/>
      <c r="J111" s="127"/>
      <c r="K111" s="127"/>
      <c r="L111" s="127"/>
      <c r="M111" s="329"/>
    </row>
    <row r="112" spans="1:15" ht="12.75" customHeight="1">
      <c r="A112" s="389"/>
      <c r="B112" s="352"/>
      <c r="C112" s="16" t="s">
        <v>4</v>
      </c>
      <c r="D112" s="124" t="s">
        <v>184</v>
      </c>
      <c r="E112" s="125"/>
      <c r="F112" s="125"/>
      <c r="G112" s="125"/>
      <c r="H112" s="125"/>
      <c r="I112" s="125"/>
      <c r="J112" s="125"/>
      <c r="K112" s="125"/>
      <c r="L112" s="125"/>
      <c r="M112" s="329"/>
    </row>
    <row r="113" spans="1:16" ht="12.6">
      <c r="B113" s="9"/>
      <c r="C113" s="9" t="s">
        <v>4</v>
      </c>
      <c r="D113" s="10"/>
      <c r="E113" s="10"/>
      <c r="F113" s="10"/>
      <c r="G113" s="10"/>
      <c r="H113" s="10"/>
      <c r="I113" s="10"/>
      <c r="J113" s="262"/>
      <c r="K113" s="10"/>
      <c r="L113" s="262">
        <f>I110+L110</f>
        <v>50290</v>
      </c>
      <c r="M113" s="330"/>
    </row>
    <row r="114" spans="1:16" ht="12.6">
      <c r="A114" s="8" t="s">
        <v>625</v>
      </c>
      <c r="B114" s="15"/>
      <c r="C114" s="16"/>
      <c r="D114" s="16"/>
      <c r="E114" s="16"/>
      <c r="F114" s="16"/>
      <c r="G114" s="16"/>
      <c r="H114" s="16"/>
      <c r="I114" s="16"/>
      <c r="J114" s="16"/>
      <c r="K114" s="16"/>
      <c r="L114" s="16"/>
      <c r="M114" s="14"/>
    </row>
    <row r="115" spans="1:16" ht="12.6" customHeight="1">
      <c r="A115" s="356" t="s">
        <v>527</v>
      </c>
      <c r="B115" s="22" t="s">
        <v>528</v>
      </c>
      <c r="C115" s="22" t="s">
        <v>4</v>
      </c>
      <c r="D115" s="22" t="s">
        <v>529</v>
      </c>
      <c r="E115" s="22"/>
      <c r="F115" s="22"/>
      <c r="G115" s="22"/>
      <c r="H115" s="22"/>
      <c r="I115" s="22"/>
      <c r="J115" s="22"/>
      <c r="K115" s="22"/>
      <c r="L115" s="22"/>
      <c r="M115" s="145"/>
    </row>
    <row r="116" spans="1:16" ht="12.6">
      <c r="A116" s="357"/>
      <c r="B116" s="11" t="s">
        <v>4</v>
      </c>
      <c r="C116" s="11" t="s">
        <v>4</v>
      </c>
      <c r="D116" s="11" t="s">
        <v>4</v>
      </c>
      <c r="E116" s="11"/>
      <c r="F116" s="11"/>
      <c r="G116" s="11"/>
      <c r="H116" s="11"/>
      <c r="I116" s="11"/>
      <c r="J116" s="11"/>
      <c r="K116" s="11"/>
      <c r="L116" s="11"/>
      <c r="M116" s="144"/>
    </row>
    <row r="117" spans="1:16" ht="12.6">
      <c r="A117" s="356" t="s">
        <v>530</v>
      </c>
      <c r="B117" s="22" t="s">
        <v>531</v>
      </c>
      <c r="C117" s="22" t="s">
        <v>4</v>
      </c>
      <c r="D117" s="358" t="s">
        <v>4</v>
      </c>
      <c r="E117" s="359"/>
      <c r="F117" s="359"/>
      <c r="G117" s="359"/>
      <c r="H117" s="359"/>
      <c r="I117" s="359"/>
      <c r="J117" s="359"/>
      <c r="K117" s="359"/>
      <c r="L117" s="359"/>
      <c r="M117" s="360"/>
    </row>
    <row r="118" spans="1:16" ht="12.6">
      <c r="A118" s="357"/>
      <c r="B118" s="11" t="s">
        <v>4</v>
      </c>
      <c r="C118" s="23" t="s">
        <v>4</v>
      </c>
      <c r="D118" s="361"/>
      <c r="E118" s="362"/>
      <c r="F118" s="362"/>
      <c r="G118" s="362"/>
      <c r="H118" s="362"/>
      <c r="I118" s="362"/>
      <c r="J118" s="362"/>
      <c r="K118" s="362"/>
      <c r="L118" s="362"/>
      <c r="M118" s="363"/>
    </row>
    <row r="119" spans="1:16" ht="12.6">
      <c r="A119" s="18"/>
      <c r="B119" s="18"/>
      <c r="C119" s="18"/>
      <c r="D119" s="18" t="s">
        <v>4</v>
      </c>
      <c r="E119" s="18"/>
      <c r="F119" s="18"/>
      <c r="G119" s="18"/>
      <c r="H119" s="18"/>
      <c r="I119" s="18"/>
      <c r="J119" s="18"/>
      <c r="K119" s="18"/>
      <c r="L119" s="18"/>
      <c r="M119" s="18" t="s">
        <v>4</v>
      </c>
    </row>
    <row r="120" spans="1:16" ht="45.95">
      <c r="A120" s="19" t="s">
        <v>560</v>
      </c>
      <c r="B120" s="20" t="s">
        <v>561</v>
      </c>
      <c r="C120" s="142" t="s">
        <v>4</v>
      </c>
      <c r="D120" s="141" t="s">
        <v>495</v>
      </c>
      <c r="E120" s="148" t="s">
        <v>506</v>
      </c>
      <c r="F120" s="141" t="s">
        <v>615</v>
      </c>
      <c r="G120" s="240" t="s">
        <v>507</v>
      </c>
      <c r="H120" s="143" t="s">
        <v>508</v>
      </c>
      <c r="I120" s="162" t="s">
        <v>509</v>
      </c>
      <c r="J120" s="143" t="s">
        <v>510</v>
      </c>
      <c r="K120" s="141" t="s">
        <v>511</v>
      </c>
      <c r="L120" s="162" t="s">
        <v>616</v>
      </c>
      <c r="M120" s="89" t="s">
        <v>496</v>
      </c>
    </row>
    <row r="121" spans="1:16" ht="29.45" customHeight="1">
      <c r="A121" s="371" t="s">
        <v>562</v>
      </c>
      <c r="B121" s="379" t="s">
        <v>563</v>
      </c>
      <c r="C121" s="25" t="s">
        <v>498</v>
      </c>
      <c r="D121" s="166">
        <v>247777</v>
      </c>
      <c r="E121" s="247">
        <v>287241</v>
      </c>
      <c r="F121" s="242">
        <f>K121</f>
        <v>278875</v>
      </c>
      <c r="G121" s="166">
        <v>255410</v>
      </c>
      <c r="H121" s="166">
        <v>262867</v>
      </c>
      <c r="I121" s="166">
        <f>G121+H121</f>
        <v>518277</v>
      </c>
      <c r="J121" s="166">
        <v>270753</v>
      </c>
      <c r="K121" s="166">
        <v>278875</v>
      </c>
      <c r="L121" s="166">
        <f>J121+K121</f>
        <v>549628</v>
      </c>
      <c r="M121" s="328" t="s">
        <v>618</v>
      </c>
      <c r="P121" s="197"/>
    </row>
    <row r="122" spans="1:16" ht="12.95" customHeight="1">
      <c r="A122" s="372"/>
      <c r="B122" s="380"/>
      <c r="C122" s="24" t="s">
        <v>500</v>
      </c>
      <c r="D122" s="152" t="s">
        <v>4</v>
      </c>
      <c r="E122" s="152"/>
      <c r="F122" s="167"/>
      <c r="G122" s="164">
        <v>270048</v>
      </c>
      <c r="H122" s="164">
        <v>228024</v>
      </c>
      <c r="I122" s="164">
        <f>SUM(G122:H122)</f>
        <v>498072</v>
      </c>
      <c r="J122" s="164">
        <v>255376</v>
      </c>
      <c r="K122" s="167">
        <v>292985</v>
      </c>
      <c r="L122" s="164">
        <f>SUM(J122:K122)</f>
        <v>548361</v>
      </c>
      <c r="M122" s="329"/>
    </row>
    <row r="123" spans="1:16" ht="12.95" customHeight="1">
      <c r="A123" s="372"/>
      <c r="B123" s="380"/>
      <c r="C123" s="14" t="s">
        <v>4</v>
      </c>
      <c r="D123" s="126" t="s">
        <v>501</v>
      </c>
      <c r="E123" s="127"/>
      <c r="F123" s="127"/>
      <c r="G123" s="127"/>
      <c r="H123" s="127"/>
      <c r="I123" s="127"/>
      <c r="J123" s="127"/>
      <c r="K123" s="127"/>
      <c r="L123" s="127"/>
      <c r="M123" s="329"/>
    </row>
    <row r="124" spans="1:16" ht="12.95" customHeight="1">
      <c r="A124" s="372"/>
      <c r="B124" s="381"/>
      <c r="C124" s="16" t="s">
        <v>4</v>
      </c>
      <c r="D124" s="124" t="s">
        <v>184</v>
      </c>
      <c r="E124" s="125"/>
      <c r="F124" s="241"/>
      <c r="G124" s="125"/>
      <c r="H124" s="125"/>
      <c r="I124" s="125"/>
      <c r="J124" s="125"/>
      <c r="K124" s="125"/>
      <c r="L124" s="125"/>
      <c r="M124" s="330"/>
    </row>
    <row r="125" spans="1:16" ht="45.95">
      <c r="A125" s="372"/>
      <c r="B125" s="48" t="s">
        <v>564</v>
      </c>
      <c r="C125" s="9" t="s">
        <v>4</v>
      </c>
      <c r="D125" s="139" t="s">
        <v>495</v>
      </c>
      <c r="E125" s="148" t="s">
        <v>506</v>
      </c>
      <c r="F125" s="236" t="s">
        <v>615</v>
      </c>
      <c r="G125" s="240" t="s">
        <v>507</v>
      </c>
      <c r="H125" s="143" t="s">
        <v>508</v>
      </c>
      <c r="I125" s="162" t="s">
        <v>509</v>
      </c>
      <c r="J125" s="143" t="s">
        <v>510</v>
      </c>
      <c r="K125" s="141" t="s">
        <v>511</v>
      </c>
      <c r="L125" s="162" t="s">
        <v>616</v>
      </c>
      <c r="M125" s="84" t="s">
        <v>496</v>
      </c>
    </row>
    <row r="126" spans="1:16" ht="23.45" customHeight="1">
      <c r="A126" s="372"/>
      <c r="B126" s="350" t="s">
        <v>565</v>
      </c>
      <c r="C126" s="25" t="s">
        <v>498</v>
      </c>
      <c r="D126" s="82">
        <v>0</v>
      </c>
      <c r="E126" s="237">
        <v>0.8</v>
      </c>
      <c r="F126" s="243">
        <v>0.8</v>
      </c>
      <c r="G126" s="82">
        <v>0.8</v>
      </c>
      <c r="H126" s="82">
        <v>0.8</v>
      </c>
      <c r="I126" s="82">
        <v>0.8</v>
      </c>
      <c r="J126" s="82">
        <v>0.8</v>
      </c>
      <c r="K126" s="82">
        <v>0.8</v>
      </c>
      <c r="L126" s="82">
        <v>0.8</v>
      </c>
      <c r="M126" s="328" t="s">
        <v>618</v>
      </c>
    </row>
    <row r="127" spans="1:16" ht="12.95" customHeight="1">
      <c r="A127" s="372"/>
      <c r="B127" s="351"/>
      <c r="C127" s="24" t="s">
        <v>500</v>
      </c>
      <c r="D127" s="152" t="s">
        <v>4</v>
      </c>
      <c r="E127" s="152"/>
      <c r="F127" s="157"/>
      <c r="G127" s="157">
        <v>0.7</v>
      </c>
      <c r="H127" s="157">
        <v>0.74</v>
      </c>
      <c r="I127" s="157">
        <v>0.74</v>
      </c>
      <c r="J127" s="157">
        <v>0.73</v>
      </c>
      <c r="K127" s="138">
        <v>0.73</v>
      </c>
      <c r="L127" s="138">
        <v>0.74</v>
      </c>
      <c r="M127" s="329"/>
    </row>
    <row r="128" spans="1:16" ht="12.95" customHeight="1">
      <c r="A128" s="372"/>
      <c r="B128" s="351"/>
      <c r="C128" s="14" t="s">
        <v>4</v>
      </c>
      <c r="D128" s="126" t="s">
        <v>501</v>
      </c>
      <c r="E128" s="127"/>
      <c r="F128" s="127"/>
      <c r="G128" s="127"/>
      <c r="H128" s="127"/>
      <c r="I128" s="127"/>
      <c r="J128" s="127"/>
      <c r="K128" s="127"/>
      <c r="L128" s="127"/>
      <c r="M128" s="329"/>
    </row>
    <row r="129" spans="1:13" ht="12.95" customHeight="1">
      <c r="A129" s="372"/>
      <c r="B129" s="351"/>
      <c r="C129" s="16" t="s">
        <v>4</v>
      </c>
      <c r="D129" s="124" t="s">
        <v>566</v>
      </c>
      <c r="E129" s="125"/>
      <c r="F129" s="241"/>
      <c r="G129" s="125"/>
      <c r="H129" s="125"/>
      <c r="I129" s="125"/>
      <c r="J129" s="125"/>
      <c r="K129" s="125"/>
      <c r="L129" s="125"/>
      <c r="M129" s="330"/>
    </row>
    <row r="130" spans="1:13" ht="45.95">
      <c r="A130" s="372"/>
      <c r="B130" s="220" t="s">
        <v>626</v>
      </c>
      <c r="C130" s="9" t="s">
        <v>4</v>
      </c>
      <c r="D130" s="139" t="s">
        <v>495</v>
      </c>
      <c r="E130" s="148" t="s">
        <v>506</v>
      </c>
      <c r="F130" s="141" t="s">
        <v>615</v>
      </c>
      <c r="G130" s="240" t="s">
        <v>507</v>
      </c>
      <c r="H130" s="143" t="s">
        <v>508</v>
      </c>
      <c r="I130" s="162" t="s">
        <v>509</v>
      </c>
      <c r="J130" s="143" t="s">
        <v>510</v>
      </c>
      <c r="K130" s="141" t="s">
        <v>511</v>
      </c>
      <c r="L130" s="162" t="s">
        <v>616</v>
      </c>
      <c r="M130" s="84" t="s">
        <v>496</v>
      </c>
    </row>
    <row r="131" spans="1:13" ht="23.45" customHeight="1">
      <c r="A131" s="372"/>
      <c r="B131" s="377" t="s">
        <v>274</v>
      </c>
      <c r="C131" s="25" t="s">
        <v>498</v>
      </c>
      <c r="D131" s="193"/>
      <c r="E131" s="193"/>
      <c r="F131" s="193"/>
      <c r="G131" s="193"/>
      <c r="H131" s="193"/>
      <c r="I131" s="193"/>
      <c r="J131" s="193"/>
      <c r="K131" s="193"/>
      <c r="L131" s="193"/>
      <c r="M131" s="328"/>
    </row>
    <row r="132" spans="1:13" ht="12.95" customHeight="1">
      <c r="A132" s="372"/>
      <c r="B132" s="377"/>
      <c r="C132" s="24" t="s">
        <v>500</v>
      </c>
      <c r="D132" s="194"/>
      <c r="E132" s="194"/>
      <c r="F132" s="194"/>
      <c r="G132" s="195"/>
      <c r="H132" s="194"/>
      <c r="I132" s="196"/>
      <c r="J132" s="194"/>
      <c r="K132" s="194"/>
      <c r="L132" s="196"/>
      <c r="M132" s="329"/>
    </row>
    <row r="133" spans="1:13" ht="12.95" customHeight="1">
      <c r="A133" s="372"/>
      <c r="B133" s="377"/>
      <c r="C133" s="14" t="s">
        <v>4</v>
      </c>
      <c r="D133" s="126" t="s">
        <v>501</v>
      </c>
      <c r="E133" s="127"/>
      <c r="F133" s="127"/>
      <c r="G133" s="127"/>
      <c r="H133" s="127"/>
      <c r="I133" s="127"/>
      <c r="J133" s="127"/>
      <c r="K133" s="127"/>
      <c r="L133" s="127"/>
      <c r="M133" s="329"/>
    </row>
    <row r="134" spans="1:13" ht="12.95" customHeight="1">
      <c r="A134" s="373"/>
      <c r="B134" s="378"/>
      <c r="C134" s="16" t="s">
        <v>4</v>
      </c>
      <c r="D134" s="124" t="s">
        <v>236</v>
      </c>
      <c r="E134" s="125"/>
      <c r="F134" s="125"/>
      <c r="G134" s="125"/>
      <c r="H134" s="125"/>
      <c r="I134" s="125"/>
      <c r="J134" s="125"/>
      <c r="K134" s="125"/>
      <c r="L134" s="125"/>
      <c r="M134" s="330"/>
    </row>
    <row r="135" spans="1:13" ht="12.6">
      <c r="A135" s="19" t="s">
        <v>625</v>
      </c>
      <c r="B135" s="15"/>
      <c r="C135" s="16"/>
      <c r="D135" s="16"/>
      <c r="E135" s="16"/>
      <c r="F135" s="16"/>
      <c r="G135" s="16"/>
      <c r="H135" s="16"/>
      <c r="I135" s="16"/>
      <c r="J135" s="16"/>
      <c r="K135" s="16"/>
      <c r="L135" s="16"/>
      <c r="M135" s="14"/>
    </row>
    <row r="136" spans="1:13" ht="12.6" customHeight="1">
      <c r="A136" s="356" t="s">
        <v>527</v>
      </c>
      <c r="B136" s="22" t="s">
        <v>528</v>
      </c>
      <c r="C136" s="22" t="s">
        <v>4</v>
      </c>
      <c r="D136" s="22" t="s">
        <v>529</v>
      </c>
      <c r="E136" s="22"/>
      <c r="F136" s="22"/>
      <c r="G136" s="22"/>
      <c r="H136" s="22"/>
      <c r="I136" s="22"/>
      <c r="J136" s="22"/>
      <c r="K136" s="22"/>
      <c r="L136" s="22"/>
      <c r="M136" s="145"/>
    </row>
    <row r="137" spans="1:13" ht="12.6">
      <c r="A137" s="357"/>
      <c r="B137" s="11" t="s">
        <v>4</v>
      </c>
      <c r="C137" s="11" t="s">
        <v>4</v>
      </c>
      <c r="D137" s="11" t="s">
        <v>4</v>
      </c>
      <c r="E137" s="11"/>
      <c r="F137" s="11"/>
      <c r="G137" s="11"/>
      <c r="H137" s="11"/>
      <c r="I137" s="11"/>
      <c r="J137" s="11"/>
      <c r="K137" s="11"/>
      <c r="L137" s="11"/>
      <c r="M137" s="144"/>
    </row>
    <row r="138" spans="1:13" ht="12.6">
      <c r="A138" s="356" t="s">
        <v>530</v>
      </c>
      <c r="B138" s="22" t="s">
        <v>531</v>
      </c>
      <c r="C138" s="22" t="s">
        <v>4</v>
      </c>
      <c r="D138" s="358" t="s">
        <v>4</v>
      </c>
      <c r="E138" s="359"/>
      <c r="F138" s="359"/>
      <c r="G138" s="359"/>
      <c r="H138" s="359"/>
      <c r="I138" s="359"/>
      <c r="J138" s="359"/>
      <c r="K138" s="359"/>
      <c r="L138" s="359"/>
      <c r="M138" s="360"/>
    </row>
    <row r="139" spans="1:13" ht="12.6">
      <c r="A139" s="357"/>
      <c r="B139" s="11" t="s">
        <v>4</v>
      </c>
      <c r="C139" s="23" t="s">
        <v>4</v>
      </c>
      <c r="D139" s="361"/>
      <c r="E139" s="362"/>
      <c r="F139" s="362"/>
      <c r="G139" s="362"/>
      <c r="H139" s="362"/>
      <c r="I139" s="362"/>
      <c r="J139" s="362"/>
      <c r="K139" s="362"/>
      <c r="L139" s="362"/>
      <c r="M139" s="363"/>
    </row>
    <row r="140" spans="1:13" ht="12.6"/>
    <row r="141" spans="1:13" ht="45.95">
      <c r="A141" s="19" t="s">
        <v>568</v>
      </c>
      <c r="B141" s="20" t="s">
        <v>569</v>
      </c>
      <c r="C141" s="142" t="s">
        <v>4</v>
      </c>
      <c r="D141" s="141" t="s">
        <v>495</v>
      </c>
      <c r="E141" s="251" t="s">
        <v>506</v>
      </c>
      <c r="F141" s="236" t="s">
        <v>615</v>
      </c>
      <c r="G141" s="240" t="s">
        <v>507</v>
      </c>
      <c r="H141" s="143" t="s">
        <v>508</v>
      </c>
      <c r="I141" s="162" t="s">
        <v>509</v>
      </c>
      <c r="J141" s="143" t="s">
        <v>510</v>
      </c>
      <c r="K141" s="141" t="s">
        <v>511</v>
      </c>
      <c r="L141" s="162" t="s">
        <v>616</v>
      </c>
      <c r="M141" s="89" t="s">
        <v>496</v>
      </c>
    </row>
    <row r="142" spans="1:13" ht="22.5" customHeight="1">
      <c r="A142" s="371" t="s">
        <v>570</v>
      </c>
      <c r="B142" s="374" t="s">
        <v>571</v>
      </c>
      <c r="C142" s="25" t="s">
        <v>498</v>
      </c>
      <c r="D142" s="250">
        <v>212003</v>
      </c>
      <c r="E142" s="248">
        <v>157948</v>
      </c>
      <c r="F142" s="249">
        <v>622869</v>
      </c>
      <c r="G142" s="166">
        <f>306974/2</f>
        <v>153487</v>
      </c>
      <c r="H142" s="166">
        <f>G142</f>
        <v>153487</v>
      </c>
      <c r="I142" s="166">
        <f>H142+G142</f>
        <v>306974</v>
      </c>
      <c r="J142" s="166">
        <f>315895/2</f>
        <v>157947.5</v>
      </c>
      <c r="K142" s="166">
        <f>J142</f>
        <v>157947.5</v>
      </c>
      <c r="L142" s="166">
        <f>K142+J142</f>
        <v>315895</v>
      </c>
      <c r="M142" s="328" t="s">
        <v>618</v>
      </c>
    </row>
    <row r="143" spans="1:13" ht="12.95" customHeight="1">
      <c r="A143" s="372"/>
      <c r="B143" s="375"/>
      <c r="C143" s="24" t="s">
        <v>500</v>
      </c>
      <c r="D143" s="152" t="s">
        <v>4</v>
      </c>
      <c r="E143" s="164"/>
      <c r="F143" s="267">
        <f>G143+H143+J143+K143</f>
        <v>477148</v>
      </c>
      <c r="G143" s="164">
        <v>183379</v>
      </c>
      <c r="H143" s="165">
        <f>74635+52519</f>
        <v>127154</v>
      </c>
      <c r="I143" s="190">
        <f>H143+G143</f>
        <v>310533</v>
      </c>
      <c r="J143" s="164">
        <v>60024</v>
      </c>
      <c r="K143" s="149">
        <v>106591</v>
      </c>
      <c r="L143" s="245">
        <v>166615</v>
      </c>
      <c r="M143" s="329"/>
    </row>
    <row r="144" spans="1:13" ht="12.95" customHeight="1">
      <c r="A144" s="372"/>
      <c r="B144" s="375"/>
      <c r="C144" s="14" t="s">
        <v>4</v>
      </c>
      <c r="D144" s="126" t="s">
        <v>501</v>
      </c>
      <c r="E144" s="127"/>
      <c r="F144" s="127"/>
      <c r="G144" s="127"/>
      <c r="H144" s="127"/>
      <c r="I144" s="127"/>
      <c r="J144" s="127"/>
      <c r="K144" s="127"/>
      <c r="L144" s="127"/>
      <c r="M144" s="329"/>
    </row>
    <row r="145" spans="1:13" ht="12.95" customHeight="1">
      <c r="A145" s="372"/>
      <c r="B145" s="376"/>
      <c r="C145" s="16" t="s">
        <v>4</v>
      </c>
      <c r="D145" s="124" t="s">
        <v>197</v>
      </c>
      <c r="E145" s="125"/>
      <c r="F145" s="241"/>
      <c r="G145" s="125"/>
      <c r="H145" s="125"/>
      <c r="I145" s="125"/>
      <c r="J145" s="125"/>
      <c r="K145" s="125"/>
      <c r="L145" s="125"/>
      <c r="M145" s="330"/>
    </row>
    <row r="146" spans="1:13" ht="45.95">
      <c r="A146" s="372"/>
      <c r="B146" s="91" t="s">
        <v>573</v>
      </c>
      <c r="C146" s="9" t="s">
        <v>4</v>
      </c>
      <c r="D146" s="139" t="s">
        <v>495</v>
      </c>
      <c r="E146" s="148" t="s">
        <v>506</v>
      </c>
      <c r="F146" s="141" t="s">
        <v>615</v>
      </c>
      <c r="G146" s="240" t="s">
        <v>507</v>
      </c>
      <c r="H146" s="143" t="s">
        <v>508</v>
      </c>
      <c r="I146" s="162" t="s">
        <v>509</v>
      </c>
      <c r="J146" s="143" t="s">
        <v>510</v>
      </c>
      <c r="K146" s="141" t="s">
        <v>511</v>
      </c>
      <c r="L146" s="162" t="s">
        <v>616</v>
      </c>
      <c r="M146" s="84" t="s">
        <v>496</v>
      </c>
    </row>
    <row r="147" spans="1:13" ht="21" customHeight="1">
      <c r="A147" s="372"/>
      <c r="B147" s="382" t="s">
        <v>574</v>
      </c>
      <c r="C147" s="25" t="s">
        <v>498</v>
      </c>
      <c r="D147" s="94"/>
      <c r="E147" s="151"/>
      <c r="F147" s="151"/>
      <c r="G147" s="94"/>
      <c r="H147" s="94"/>
      <c r="I147" s="94"/>
      <c r="J147" s="94"/>
      <c r="K147" s="94"/>
      <c r="L147" s="94"/>
      <c r="M147" s="331" t="s">
        <v>627</v>
      </c>
    </row>
    <row r="148" spans="1:13" ht="12.95" customHeight="1">
      <c r="A148" s="372"/>
      <c r="B148" s="377"/>
      <c r="C148" s="24" t="s">
        <v>500</v>
      </c>
      <c r="D148" s="152" t="s">
        <v>4</v>
      </c>
      <c r="E148" s="152"/>
      <c r="F148" s="152"/>
      <c r="G148" s="152"/>
      <c r="H148" s="152"/>
      <c r="I148" s="152"/>
      <c r="J148" s="152"/>
      <c r="K148" s="152"/>
      <c r="L148" s="152"/>
      <c r="M148" s="332"/>
    </row>
    <row r="149" spans="1:13" ht="12.95" customHeight="1">
      <c r="A149" s="372"/>
      <c r="B149" s="377"/>
      <c r="C149" s="14" t="s">
        <v>4</v>
      </c>
      <c r="D149" s="126" t="s">
        <v>501</v>
      </c>
      <c r="E149" s="127"/>
      <c r="F149" s="127"/>
      <c r="G149" s="127"/>
      <c r="H149" s="127"/>
      <c r="I149" s="127"/>
      <c r="J149" s="127"/>
      <c r="K149" s="127"/>
      <c r="L149" s="127"/>
      <c r="M149" s="332"/>
    </row>
    <row r="150" spans="1:13" ht="12.95" customHeight="1">
      <c r="A150" s="373"/>
      <c r="B150" s="378"/>
      <c r="C150" s="16" t="s">
        <v>4</v>
      </c>
      <c r="D150" s="124" t="s">
        <v>577</v>
      </c>
      <c r="E150" s="125"/>
      <c r="F150" s="125"/>
      <c r="G150" s="125"/>
      <c r="H150" s="125"/>
      <c r="I150" s="125"/>
      <c r="J150" s="125"/>
      <c r="K150" s="125"/>
      <c r="L150" s="125"/>
      <c r="M150" s="333"/>
    </row>
    <row r="151" spans="1:13" ht="12.6">
      <c r="A151" s="19" t="s">
        <v>625</v>
      </c>
      <c r="B151" s="15"/>
      <c r="C151" s="16"/>
      <c r="D151" s="16"/>
      <c r="E151" s="16"/>
      <c r="F151" s="16"/>
      <c r="G151" s="16"/>
      <c r="H151" s="16"/>
      <c r="I151" s="16"/>
      <c r="J151" s="16"/>
      <c r="K151" s="16"/>
      <c r="L151" s="16"/>
      <c r="M151" s="14"/>
    </row>
    <row r="152" spans="1:13" ht="12.6" customHeight="1">
      <c r="A152" s="356" t="s">
        <v>527</v>
      </c>
      <c r="B152" s="22" t="s">
        <v>528</v>
      </c>
      <c r="C152" s="22" t="s">
        <v>4</v>
      </c>
      <c r="D152" s="22" t="s">
        <v>529</v>
      </c>
      <c r="E152" s="22"/>
      <c r="F152" s="22"/>
      <c r="G152" s="22"/>
      <c r="H152" s="22"/>
      <c r="I152" s="22"/>
      <c r="J152" s="22"/>
      <c r="K152" s="22"/>
      <c r="L152" s="22"/>
      <c r="M152" s="145"/>
    </row>
    <row r="153" spans="1:13" ht="12.6">
      <c r="A153" s="357"/>
      <c r="B153" s="11" t="s">
        <v>4</v>
      </c>
      <c r="C153" s="11" t="s">
        <v>4</v>
      </c>
      <c r="D153" s="11" t="s">
        <v>4</v>
      </c>
      <c r="E153" s="11"/>
      <c r="F153" s="11"/>
      <c r="G153" s="11"/>
      <c r="H153" s="11"/>
      <c r="I153" s="11"/>
      <c r="J153" s="11"/>
      <c r="K153" s="11"/>
      <c r="L153" s="11"/>
      <c r="M153" s="144"/>
    </row>
    <row r="154" spans="1:13" ht="12.6">
      <c r="A154" s="356" t="s">
        <v>530</v>
      </c>
      <c r="B154" s="22" t="s">
        <v>531</v>
      </c>
      <c r="C154" s="22" t="s">
        <v>4</v>
      </c>
      <c r="D154" s="358" t="s">
        <v>4</v>
      </c>
      <c r="E154" s="359"/>
      <c r="F154" s="359"/>
      <c r="G154" s="359"/>
      <c r="H154" s="359"/>
      <c r="I154" s="359"/>
      <c r="J154" s="359"/>
      <c r="K154" s="359"/>
      <c r="L154" s="359"/>
      <c r="M154" s="360"/>
    </row>
    <row r="155" spans="1:13" ht="12.6">
      <c r="A155" s="357"/>
      <c r="B155" s="11" t="s">
        <v>4</v>
      </c>
      <c r="C155" s="23" t="s">
        <v>4</v>
      </c>
      <c r="D155" s="361"/>
      <c r="E155" s="362"/>
      <c r="F155" s="362"/>
      <c r="G155" s="362"/>
      <c r="H155" s="362"/>
      <c r="I155" s="362"/>
      <c r="J155" s="362"/>
      <c r="K155" s="362"/>
      <c r="L155" s="362"/>
      <c r="M155" s="363"/>
    </row>
    <row r="156" spans="1:13" ht="12.6"/>
    <row r="157" spans="1:13" ht="45.95">
      <c r="A157" s="19" t="s">
        <v>579</v>
      </c>
      <c r="B157" s="20" t="s">
        <v>580</v>
      </c>
      <c r="C157" s="142" t="s">
        <v>4</v>
      </c>
      <c r="D157" s="141" t="s">
        <v>495</v>
      </c>
      <c r="E157" s="148" t="s">
        <v>506</v>
      </c>
      <c r="F157" s="141" t="s">
        <v>615</v>
      </c>
      <c r="G157" s="240" t="s">
        <v>507</v>
      </c>
      <c r="H157" s="143" t="s">
        <v>508</v>
      </c>
      <c r="I157" s="162" t="s">
        <v>509</v>
      </c>
      <c r="J157" s="143" t="s">
        <v>510</v>
      </c>
      <c r="K157" s="141" t="s">
        <v>511</v>
      </c>
      <c r="L157" s="162" t="s">
        <v>616</v>
      </c>
      <c r="M157" s="89" t="s">
        <v>496</v>
      </c>
    </row>
    <row r="158" spans="1:13" ht="29.45" customHeight="1">
      <c r="A158" s="364" t="s">
        <v>581</v>
      </c>
      <c r="B158" s="379" t="s">
        <v>582</v>
      </c>
      <c r="C158" s="25" t="s">
        <v>498</v>
      </c>
      <c r="D158" s="82">
        <v>0.9</v>
      </c>
      <c r="E158" s="237">
        <v>0.95</v>
      </c>
      <c r="F158" s="252">
        <v>0.95</v>
      </c>
      <c r="G158" s="82">
        <v>0.95</v>
      </c>
      <c r="H158" s="82">
        <v>0.95</v>
      </c>
      <c r="I158" s="82">
        <v>0.95</v>
      </c>
      <c r="J158" s="82">
        <v>0.95</v>
      </c>
      <c r="K158" s="82">
        <v>0.95</v>
      </c>
      <c r="L158" s="82">
        <v>0.96</v>
      </c>
      <c r="M158" s="325" t="s">
        <v>618</v>
      </c>
    </row>
    <row r="159" spans="1:13" ht="12.95" customHeight="1">
      <c r="A159" s="365"/>
      <c r="B159" s="380"/>
      <c r="C159" s="24" t="s">
        <v>500</v>
      </c>
      <c r="D159" s="152" t="s">
        <v>4</v>
      </c>
      <c r="E159" s="152"/>
      <c r="F159" s="152"/>
      <c r="G159" s="157">
        <v>0.96</v>
      </c>
      <c r="H159" s="157">
        <v>0.96</v>
      </c>
      <c r="I159" s="157">
        <v>0.96</v>
      </c>
      <c r="J159" s="157">
        <v>0.95</v>
      </c>
      <c r="K159" s="157">
        <v>0.96</v>
      </c>
      <c r="L159" s="157">
        <v>0.96</v>
      </c>
      <c r="M159" s="326"/>
    </row>
    <row r="160" spans="1:13" ht="12.95" customHeight="1">
      <c r="A160" s="365"/>
      <c r="B160" s="380"/>
      <c r="C160" s="14" t="s">
        <v>4</v>
      </c>
      <c r="D160" s="126" t="s">
        <v>501</v>
      </c>
      <c r="E160" s="127"/>
      <c r="F160" s="127"/>
      <c r="G160" s="127"/>
      <c r="H160" s="127"/>
      <c r="I160" s="127"/>
      <c r="J160" s="127"/>
      <c r="K160" s="127"/>
      <c r="L160" s="127"/>
      <c r="M160" s="326"/>
    </row>
    <row r="161" spans="1:13" ht="12.95" customHeight="1">
      <c r="A161" s="365"/>
      <c r="B161" s="381"/>
      <c r="C161" s="16" t="s">
        <v>4</v>
      </c>
      <c r="D161" s="124" t="s">
        <v>184</v>
      </c>
      <c r="E161" s="125"/>
      <c r="F161" s="241"/>
      <c r="G161" s="125"/>
      <c r="H161" s="125"/>
      <c r="I161" s="125"/>
      <c r="J161" s="125"/>
      <c r="K161" s="125"/>
      <c r="L161" s="125"/>
      <c r="M161" s="327"/>
    </row>
    <row r="162" spans="1:13" ht="45.95">
      <c r="A162" s="365"/>
      <c r="B162" s="91" t="s">
        <v>584</v>
      </c>
      <c r="C162" s="9" t="s">
        <v>4</v>
      </c>
      <c r="D162" s="139" t="s">
        <v>495</v>
      </c>
      <c r="E162" s="148" t="s">
        <v>506</v>
      </c>
      <c r="F162" s="141" t="s">
        <v>615</v>
      </c>
      <c r="G162" s="240" t="s">
        <v>507</v>
      </c>
      <c r="H162" s="143" t="s">
        <v>508</v>
      </c>
      <c r="I162" s="162" t="s">
        <v>509</v>
      </c>
      <c r="J162" s="143" t="s">
        <v>510</v>
      </c>
      <c r="K162" s="141" t="s">
        <v>511</v>
      </c>
      <c r="L162" s="162" t="s">
        <v>616</v>
      </c>
      <c r="M162" s="84" t="s">
        <v>496</v>
      </c>
    </row>
    <row r="163" spans="1:13" ht="12.6">
      <c r="A163" s="372"/>
      <c r="B163" s="374" t="s">
        <v>292</v>
      </c>
      <c r="C163" s="25" t="s">
        <v>498</v>
      </c>
      <c r="D163" s="93">
        <v>2</v>
      </c>
      <c r="E163" s="151">
        <v>10</v>
      </c>
      <c r="F163" s="151">
        <f>G163+H163+J163+K163</f>
        <v>8</v>
      </c>
      <c r="G163" s="93">
        <v>2</v>
      </c>
      <c r="H163" s="93">
        <v>2</v>
      </c>
      <c r="I163" s="93">
        <f>SUM(G163:H163)</f>
        <v>4</v>
      </c>
      <c r="J163" s="93">
        <v>2</v>
      </c>
      <c r="K163" s="93">
        <v>2</v>
      </c>
      <c r="L163" s="93">
        <v>4</v>
      </c>
      <c r="M163" s="328" t="s">
        <v>618</v>
      </c>
    </row>
    <row r="164" spans="1:13" ht="12.95" customHeight="1">
      <c r="A164" s="372"/>
      <c r="B164" s="375"/>
      <c r="C164" s="24" t="s">
        <v>500</v>
      </c>
      <c r="D164" s="152" t="s">
        <v>4</v>
      </c>
      <c r="E164" s="156"/>
      <c r="F164" s="156"/>
      <c r="G164" s="156">
        <v>3</v>
      </c>
      <c r="H164" s="156">
        <v>3</v>
      </c>
      <c r="I164" s="189">
        <f>SUM(G164:H164)</f>
        <v>6</v>
      </c>
      <c r="J164" s="156">
        <v>3</v>
      </c>
      <c r="K164" s="149">
        <v>4</v>
      </c>
      <c r="L164" s="264">
        <f>SUM(J164:K164)</f>
        <v>7</v>
      </c>
      <c r="M164" s="329"/>
    </row>
    <row r="165" spans="1:13" ht="12.95" customHeight="1">
      <c r="A165" s="372"/>
      <c r="B165" s="375"/>
      <c r="C165" s="14" t="s">
        <v>4</v>
      </c>
      <c r="D165" s="126" t="s">
        <v>501</v>
      </c>
      <c r="E165" s="127"/>
      <c r="F165" s="127"/>
      <c r="G165" s="127"/>
      <c r="H165" s="127"/>
      <c r="I165" s="127"/>
      <c r="J165" s="127"/>
      <c r="K165" s="127"/>
      <c r="L165" s="127"/>
      <c r="M165" s="329"/>
    </row>
    <row r="166" spans="1:13" ht="12.95" customHeight="1">
      <c r="A166" s="373"/>
      <c r="B166" s="376"/>
      <c r="C166" s="16" t="s">
        <v>4</v>
      </c>
      <c r="D166" s="124" t="s">
        <v>236</v>
      </c>
      <c r="E166" s="125"/>
      <c r="F166" s="241"/>
      <c r="G166" s="125"/>
      <c r="H166" s="125"/>
      <c r="I166" s="125"/>
      <c r="J166" s="125"/>
      <c r="K166" s="125"/>
      <c r="L166" s="125"/>
      <c r="M166" s="330"/>
    </row>
    <row r="167" spans="1:13" ht="45.95">
      <c r="A167" s="8" t="s">
        <v>625</v>
      </c>
      <c r="B167" s="9" t="s">
        <v>586</v>
      </c>
      <c r="C167" s="9" t="s">
        <v>4</v>
      </c>
      <c r="D167" s="139" t="s">
        <v>495</v>
      </c>
      <c r="E167" s="148" t="s">
        <v>506</v>
      </c>
      <c r="F167" s="141" t="s">
        <v>615</v>
      </c>
      <c r="G167" s="240" t="s">
        <v>507</v>
      </c>
      <c r="H167" s="143" t="s">
        <v>508</v>
      </c>
      <c r="I167" s="162" t="s">
        <v>509</v>
      </c>
      <c r="J167" s="143" t="s">
        <v>510</v>
      </c>
      <c r="K167" s="141" t="s">
        <v>511</v>
      </c>
      <c r="L167" s="162" t="s">
        <v>616</v>
      </c>
      <c r="M167" s="84" t="s">
        <v>496</v>
      </c>
    </row>
    <row r="168" spans="1:13" ht="23.45" customHeight="1">
      <c r="A168" s="400" t="s">
        <v>4</v>
      </c>
      <c r="B168" s="397" t="s">
        <v>587</v>
      </c>
      <c r="C168" s="25" t="s">
        <v>498</v>
      </c>
      <c r="D168" s="93">
        <v>0</v>
      </c>
      <c r="E168" s="138">
        <v>0.9</v>
      </c>
      <c r="F168" s="138">
        <v>0.85</v>
      </c>
      <c r="G168" s="82">
        <v>0.7</v>
      </c>
      <c r="H168" s="82">
        <v>0.75</v>
      </c>
      <c r="I168" s="82">
        <v>0.8</v>
      </c>
      <c r="J168" s="82">
        <v>0.8</v>
      </c>
      <c r="K168" s="82">
        <v>0.85</v>
      </c>
      <c r="L168" s="82">
        <v>0.85</v>
      </c>
      <c r="M168" s="328" t="s">
        <v>618</v>
      </c>
    </row>
    <row r="169" spans="1:13" ht="12.95" customHeight="1">
      <c r="A169" s="401"/>
      <c r="B169" s="398"/>
      <c r="C169" s="24" t="s">
        <v>500</v>
      </c>
      <c r="D169" s="152" t="s">
        <v>4</v>
      </c>
      <c r="E169" s="152"/>
      <c r="F169" s="152"/>
      <c r="G169" s="157">
        <v>0.7</v>
      </c>
      <c r="H169" s="157">
        <v>0.75</v>
      </c>
      <c r="I169" s="157">
        <v>0.75</v>
      </c>
      <c r="J169" s="157">
        <v>0.74</v>
      </c>
      <c r="K169" s="138">
        <v>0.8</v>
      </c>
      <c r="L169" s="138">
        <v>0.75</v>
      </c>
      <c r="M169" s="329"/>
    </row>
    <row r="170" spans="1:13" ht="12.95" customHeight="1">
      <c r="A170" s="401"/>
      <c r="B170" s="398"/>
      <c r="C170" s="14" t="s">
        <v>4</v>
      </c>
      <c r="D170" s="126" t="s">
        <v>501</v>
      </c>
      <c r="E170" s="127"/>
      <c r="F170" s="127"/>
      <c r="G170" s="127"/>
      <c r="H170" s="127"/>
      <c r="I170" s="127"/>
      <c r="J170" s="127"/>
      <c r="K170" s="127"/>
      <c r="L170" s="127"/>
      <c r="M170" s="329"/>
    </row>
    <row r="171" spans="1:13" ht="12.95" customHeight="1">
      <c r="A171" s="401"/>
      <c r="B171" s="399"/>
      <c r="C171" s="16" t="s">
        <v>4</v>
      </c>
      <c r="D171" s="124" t="s">
        <v>236</v>
      </c>
      <c r="E171" s="125"/>
      <c r="F171" s="125"/>
      <c r="G171" s="125"/>
      <c r="H171" s="125"/>
      <c r="I171" s="125"/>
      <c r="J171" s="125"/>
      <c r="K171" s="125"/>
      <c r="L171" s="125"/>
      <c r="M171" s="330"/>
    </row>
    <row r="172" spans="1:13" ht="12.6">
      <c r="A172" s="401"/>
      <c r="B172" s="15"/>
      <c r="C172" s="16"/>
      <c r="D172" s="16"/>
      <c r="E172" s="16"/>
      <c r="F172" s="16"/>
      <c r="G172" s="16"/>
      <c r="H172" s="16"/>
      <c r="I172" s="16"/>
      <c r="J172" s="16"/>
      <c r="K172" s="16"/>
      <c r="L172" s="16"/>
      <c r="M172" s="14"/>
    </row>
    <row r="173" spans="1:13" ht="12.6" customHeight="1">
      <c r="A173" s="356" t="s">
        <v>527</v>
      </c>
      <c r="B173" s="22" t="s">
        <v>528</v>
      </c>
      <c r="C173" s="22" t="s">
        <v>4</v>
      </c>
      <c r="D173" s="22" t="s">
        <v>529</v>
      </c>
      <c r="E173" s="22"/>
      <c r="F173" s="22"/>
      <c r="G173" s="22"/>
      <c r="H173" s="22"/>
      <c r="I173" s="22"/>
      <c r="J173" s="22"/>
      <c r="K173" s="22"/>
      <c r="L173" s="22"/>
      <c r="M173" s="145"/>
    </row>
    <row r="174" spans="1:13" ht="12.6">
      <c r="A174" s="357"/>
      <c r="B174" s="11" t="s">
        <v>4</v>
      </c>
      <c r="C174" s="11" t="s">
        <v>4</v>
      </c>
      <c r="D174" s="11" t="s">
        <v>4</v>
      </c>
      <c r="E174" s="11"/>
      <c r="F174" s="11"/>
      <c r="G174" s="11"/>
      <c r="H174" s="11"/>
      <c r="I174" s="11"/>
      <c r="J174" s="11"/>
      <c r="K174" s="11"/>
      <c r="L174" s="11"/>
      <c r="M174" s="144"/>
    </row>
    <row r="175" spans="1:13" ht="12.6">
      <c r="A175" s="356" t="s">
        <v>530</v>
      </c>
      <c r="B175" s="22" t="s">
        <v>531</v>
      </c>
      <c r="C175" s="22" t="s">
        <v>4</v>
      </c>
      <c r="D175" s="358" t="s">
        <v>4</v>
      </c>
      <c r="E175" s="359"/>
      <c r="F175" s="359"/>
      <c r="G175" s="359"/>
      <c r="H175" s="359"/>
      <c r="I175" s="359"/>
      <c r="J175" s="359"/>
      <c r="K175" s="359"/>
      <c r="L175" s="359"/>
      <c r="M175" s="360"/>
    </row>
    <row r="176" spans="1:13" ht="12.6">
      <c r="A176" s="357"/>
      <c r="B176" s="11" t="s">
        <v>4</v>
      </c>
      <c r="C176" s="23" t="s">
        <v>4</v>
      </c>
      <c r="D176" s="361"/>
      <c r="E176" s="362"/>
      <c r="F176" s="362"/>
      <c r="G176" s="362"/>
      <c r="H176" s="362"/>
      <c r="I176" s="362"/>
      <c r="J176" s="362"/>
      <c r="K176" s="362"/>
      <c r="L176" s="362"/>
      <c r="M176" s="363"/>
    </row>
    <row r="177" spans="1:13" ht="12.6"/>
    <row r="178" spans="1:13" ht="45.95">
      <c r="A178" s="19" t="s">
        <v>628</v>
      </c>
      <c r="B178" s="20" t="s">
        <v>589</v>
      </c>
      <c r="C178" s="142" t="s">
        <v>4</v>
      </c>
      <c r="D178" s="141" t="s">
        <v>495</v>
      </c>
      <c r="E178" s="148" t="s">
        <v>506</v>
      </c>
      <c r="F178" s="141" t="s">
        <v>615</v>
      </c>
      <c r="G178" s="240" t="s">
        <v>507</v>
      </c>
      <c r="H178" s="143" t="s">
        <v>508</v>
      </c>
      <c r="I178" s="162" t="s">
        <v>509</v>
      </c>
      <c r="J178" s="143" t="s">
        <v>510</v>
      </c>
      <c r="K178" s="141" t="s">
        <v>511</v>
      </c>
      <c r="L178" s="162" t="s">
        <v>616</v>
      </c>
      <c r="M178" s="89" t="s">
        <v>496</v>
      </c>
    </row>
    <row r="179" spans="1:13" ht="29.45" customHeight="1">
      <c r="A179" s="371" t="s">
        <v>588</v>
      </c>
      <c r="B179" s="394" t="s">
        <v>365</v>
      </c>
      <c r="C179" s="25" t="s">
        <v>498</v>
      </c>
      <c r="D179" s="166">
        <v>0</v>
      </c>
      <c r="E179" s="166">
        <v>572288</v>
      </c>
      <c r="F179" s="166">
        <f>K179</f>
        <v>457830.40000000002</v>
      </c>
      <c r="G179" s="94">
        <f>0.2*E179</f>
        <v>114457.60000000001</v>
      </c>
      <c r="H179" s="94">
        <f>0.4*E179</f>
        <v>228915.20000000001</v>
      </c>
      <c r="I179" s="166">
        <f>G179+H179</f>
        <v>343372.80000000005</v>
      </c>
      <c r="J179" s="94">
        <f>0.6*E179</f>
        <v>343372.79999999999</v>
      </c>
      <c r="K179" s="94">
        <f>0.8*E179</f>
        <v>457830.40000000002</v>
      </c>
      <c r="L179" s="166">
        <f>J179+K179</f>
        <v>801203.19999999995</v>
      </c>
      <c r="M179" s="325" t="s">
        <v>629</v>
      </c>
    </row>
    <row r="180" spans="1:13" ht="12.95" customHeight="1">
      <c r="A180" s="372"/>
      <c r="B180" s="395"/>
      <c r="C180" s="24" t="s">
        <v>500</v>
      </c>
      <c r="D180" s="152" t="s">
        <v>4</v>
      </c>
      <c r="E180" s="152"/>
      <c r="F180" s="152"/>
      <c r="G180" s="152"/>
      <c r="H180" s="152"/>
      <c r="I180" s="152"/>
      <c r="J180" s="152"/>
      <c r="K180" s="152"/>
      <c r="L180" s="152"/>
      <c r="M180" s="326"/>
    </row>
    <row r="181" spans="1:13" ht="12.95" customHeight="1">
      <c r="A181" s="372"/>
      <c r="B181" s="395"/>
      <c r="C181" s="14" t="s">
        <v>4</v>
      </c>
      <c r="D181" s="126" t="s">
        <v>501</v>
      </c>
      <c r="E181" s="127"/>
      <c r="F181" s="127"/>
      <c r="G181" s="127"/>
      <c r="H181" s="127"/>
      <c r="I181" s="127"/>
      <c r="J181" s="127"/>
      <c r="K181" s="127"/>
      <c r="L181" s="127"/>
      <c r="M181" s="326"/>
    </row>
    <row r="182" spans="1:13" ht="12.95" customHeight="1">
      <c r="A182" s="372"/>
      <c r="B182" s="396"/>
      <c r="C182" s="16" t="s">
        <v>4</v>
      </c>
      <c r="D182" s="124" t="s">
        <v>184</v>
      </c>
      <c r="E182" s="125"/>
      <c r="F182" s="241"/>
      <c r="G182" s="125"/>
      <c r="H182" s="125"/>
      <c r="I182" s="125"/>
      <c r="J182" s="125"/>
      <c r="K182" s="125"/>
      <c r="L182" s="125"/>
      <c r="M182" s="327"/>
    </row>
    <row r="183" spans="1:13" ht="45.95">
      <c r="A183" s="372"/>
      <c r="B183" s="91" t="s">
        <v>630</v>
      </c>
      <c r="C183" s="9" t="s">
        <v>4</v>
      </c>
      <c r="D183" s="139" t="s">
        <v>495</v>
      </c>
      <c r="E183" s="148" t="s">
        <v>506</v>
      </c>
      <c r="F183" s="141" t="s">
        <v>615</v>
      </c>
      <c r="G183" s="240" t="s">
        <v>507</v>
      </c>
      <c r="H183" s="143" t="s">
        <v>508</v>
      </c>
      <c r="I183" s="162" t="s">
        <v>509</v>
      </c>
      <c r="J183" s="143" t="s">
        <v>510</v>
      </c>
      <c r="K183" s="141" t="s">
        <v>511</v>
      </c>
      <c r="L183" s="162" t="s">
        <v>616</v>
      </c>
      <c r="M183" s="84" t="s">
        <v>496</v>
      </c>
    </row>
    <row r="184" spans="1:13" ht="23.45" customHeight="1">
      <c r="A184" s="372"/>
      <c r="B184" s="391" t="s">
        <v>299</v>
      </c>
      <c r="C184" s="25" t="s">
        <v>498</v>
      </c>
      <c r="D184" s="93">
        <v>0</v>
      </c>
      <c r="E184" s="151">
        <v>87</v>
      </c>
      <c r="F184" s="151">
        <v>80</v>
      </c>
      <c r="G184" s="93">
        <v>44</v>
      </c>
      <c r="H184" s="93">
        <v>43</v>
      </c>
      <c r="I184" s="93">
        <f>SUM(G184:H184)</f>
        <v>87</v>
      </c>
      <c r="J184" s="93">
        <v>73</v>
      </c>
      <c r="K184" s="93">
        <v>80</v>
      </c>
      <c r="L184" s="233">
        <v>80</v>
      </c>
      <c r="M184" s="328" t="s">
        <v>618</v>
      </c>
    </row>
    <row r="185" spans="1:13" ht="12.95" customHeight="1">
      <c r="A185" s="372"/>
      <c r="B185" s="392"/>
      <c r="C185" s="24" t="s">
        <v>500</v>
      </c>
      <c r="D185" s="152" t="s">
        <v>4</v>
      </c>
      <c r="E185" s="152"/>
      <c r="F185" s="152"/>
      <c r="G185" s="156">
        <v>31</v>
      </c>
      <c r="H185" s="156">
        <v>45</v>
      </c>
      <c r="I185" s="156">
        <f>SUM(G185:H185)</f>
        <v>76</v>
      </c>
      <c r="J185" s="152">
        <v>76</v>
      </c>
      <c r="K185" s="149">
        <v>87</v>
      </c>
      <c r="L185" s="149">
        <v>87</v>
      </c>
      <c r="M185" s="329"/>
    </row>
    <row r="186" spans="1:13" ht="12.95" customHeight="1">
      <c r="A186" s="372"/>
      <c r="B186" s="392"/>
      <c r="C186" s="14" t="s">
        <v>4</v>
      </c>
      <c r="D186" s="126" t="s">
        <v>501</v>
      </c>
      <c r="E186" s="127"/>
      <c r="F186" s="127"/>
      <c r="G186" s="127"/>
      <c r="H186" s="127"/>
      <c r="I186" s="127"/>
      <c r="J186" s="127"/>
      <c r="K186" s="127"/>
      <c r="L186" s="127"/>
      <c r="M186" s="329"/>
    </row>
    <row r="187" spans="1:13" ht="12.95" customHeight="1">
      <c r="A187" s="372"/>
      <c r="B187" s="393"/>
      <c r="C187" s="16" t="s">
        <v>4</v>
      </c>
      <c r="D187" s="124" t="s">
        <v>184</v>
      </c>
      <c r="E187" s="125"/>
      <c r="F187" s="125"/>
      <c r="G187" s="125"/>
      <c r="H187" s="125"/>
      <c r="I187" s="125"/>
      <c r="J187" s="125"/>
      <c r="K187" s="125"/>
      <c r="L187" s="125"/>
      <c r="M187" s="330"/>
    </row>
    <row r="188" spans="1:13" ht="12.6">
      <c r="A188" s="8" t="s">
        <v>625</v>
      </c>
      <c r="B188" s="15"/>
      <c r="C188" s="16"/>
      <c r="D188" s="16"/>
      <c r="E188" s="16"/>
      <c r="F188" s="16"/>
      <c r="G188" s="16"/>
      <c r="H188" s="16"/>
      <c r="I188" s="16"/>
      <c r="J188" s="16"/>
      <c r="K188" s="16"/>
      <c r="L188" s="16"/>
      <c r="M188" s="14"/>
    </row>
    <row r="189" spans="1:13" ht="12.6" customHeight="1">
      <c r="A189" s="356" t="s">
        <v>527</v>
      </c>
      <c r="B189" s="22" t="s">
        <v>528</v>
      </c>
      <c r="C189" s="22" t="s">
        <v>4</v>
      </c>
      <c r="D189" s="22" t="s">
        <v>529</v>
      </c>
      <c r="E189" s="22"/>
      <c r="F189" s="22"/>
      <c r="G189" s="22"/>
      <c r="H189" s="22"/>
      <c r="I189" s="22"/>
      <c r="J189" s="22"/>
      <c r="K189" s="22"/>
      <c r="L189" s="22"/>
      <c r="M189" s="145"/>
    </row>
    <row r="190" spans="1:13" ht="12.6">
      <c r="A190" s="357"/>
      <c r="B190" s="11" t="s">
        <v>4</v>
      </c>
      <c r="C190" s="11" t="s">
        <v>4</v>
      </c>
      <c r="D190" s="11" t="s">
        <v>4</v>
      </c>
      <c r="E190" s="11"/>
      <c r="F190" s="11"/>
      <c r="G190" s="11"/>
      <c r="H190" s="11"/>
      <c r="I190" s="11"/>
      <c r="J190" s="11"/>
      <c r="K190" s="11"/>
      <c r="L190" s="11"/>
      <c r="M190" s="144"/>
    </row>
    <row r="191" spans="1:13" ht="12.6">
      <c r="A191" s="356" t="s">
        <v>530</v>
      </c>
      <c r="B191" s="22" t="s">
        <v>531</v>
      </c>
      <c r="C191" s="22" t="s">
        <v>4</v>
      </c>
      <c r="D191" s="358" t="s">
        <v>4</v>
      </c>
      <c r="E191" s="359"/>
      <c r="F191" s="359"/>
      <c r="G191" s="359"/>
      <c r="H191" s="359"/>
      <c r="I191" s="359"/>
      <c r="J191" s="359"/>
      <c r="K191" s="359"/>
      <c r="L191" s="359"/>
      <c r="M191" s="360"/>
    </row>
    <row r="192" spans="1:13" ht="12.6">
      <c r="A192" s="357"/>
      <c r="B192" s="11" t="s">
        <v>4</v>
      </c>
      <c r="C192" s="23" t="s">
        <v>4</v>
      </c>
      <c r="D192" s="361"/>
      <c r="E192" s="362"/>
      <c r="F192" s="362"/>
      <c r="G192" s="362"/>
      <c r="H192" s="362"/>
      <c r="I192" s="362"/>
      <c r="J192" s="362"/>
      <c r="K192" s="362"/>
      <c r="L192" s="362"/>
      <c r="M192" s="363"/>
    </row>
    <row r="193" ht="12.6"/>
    <row r="194" ht="12.6"/>
    <row r="195" ht="12.6"/>
    <row r="196" ht="12.6"/>
    <row r="197" ht="12.6"/>
    <row r="198" ht="12.6"/>
    <row r="199" ht="12.6"/>
    <row r="200" ht="12.6"/>
    <row r="201" ht="12.6"/>
    <row r="202" ht="12.6"/>
    <row r="203" ht="12.6"/>
    <row r="204" ht="12.6"/>
  </sheetData>
  <mergeCells count="105">
    <mergeCell ref="N106:N109"/>
    <mergeCell ref="C1:J2"/>
    <mergeCell ref="B184:B187"/>
    <mergeCell ref="A189:A190"/>
    <mergeCell ref="B179:B182"/>
    <mergeCell ref="A175:A176"/>
    <mergeCell ref="D175:M176"/>
    <mergeCell ref="B168:B171"/>
    <mergeCell ref="A168:A172"/>
    <mergeCell ref="B163:B166"/>
    <mergeCell ref="A173:A174"/>
    <mergeCell ref="D35:L35"/>
    <mergeCell ref="D36:L36"/>
    <mergeCell ref="M53:M56"/>
    <mergeCell ref="D138:M139"/>
    <mergeCell ref="D59:M60"/>
    <mergeCell ref="D89:M90"/>
    <mergeCell ref="D55:L55"/>
    <mergeCell ref="M63:M66"/>
    <mergeCell ref="M68:M71"/>
    <mergeCell ref="M73:M76"/>
    <mergeCell ref="M78:M81"/>
    <mergeCell ref="D25:L25"/>
    <mergeCell ref="D51:L51"/>
    <mergeCell ref="B33:B36"/>
    <mergeCell ref="A57:A58"/>
    <mergeCell ref="A59:A60"/>
    <mergeCell ref="A53:A56"/>
    <mergeCell ref="A94:A112"/>
    <mergeCell ref="B104:B107"/>
    <mergeCell ref="B109:B112"/>
    <mergeCell ref="B94:B97"/>
    <mergeCell ref="D56:L56"/>
    <mergeCell ref="B73:B76"/>
    <mergeCell ref="B78:B80"/>
    <mergeCell ref="B83:B85"/>
    <mergeCell ref="A191:A192"/>
    <mergeCell ref="D191:M192"/>
    <mergeCell ref="A121:A134"/>
    <mergeCell ref="A179:A187"/>
    <mergeCell ref="A138:A139"/>
    <mergeCell ref="B142:B145"/>
    <mergeCell ref="B131:B134"/>
    <mergeCell ref="A136:A137"/>
    <mergeCell ref="B121:B124"/>
    <mergeCell ref="B126:B129"/>
    <mergeCell ref="B147:B150"/>
    <mergeCell ref="A152:A153"/>
    <mergeCell ref="A142:A150"/>
    <mergeCell ref="A158:A166"/>
    <mergeCell ref="A154:A155"/>
    <mergeCell ref="D154:M155"/>
    <mergeCell ref="B158:B161"/>
    <mergeCell ref="M158:M161"/>
    <mergeCell ref="M163:M166"/>
    <mergeCell ref="M168:M171"/>
    <mergeCell ref="A6:A19"/>
    <mergeCell ref="B23:B26"/>
    <mergeCell ref="B28:B31"/>
    <mergeCell ref="A23:A51"/>
    <mergeCell ref="A117:A118"/>
    <mergeCell ref="D117:M118"/>
    <mergeCell ref="A115:A116"/>
    <mergeCell ref="A87:A88"/>
    <mergeCell ref="A89:A90"/>
    <mergeCell ref="D30:L30"/>
    <mergeCell ref="D31:L31"/>
    <mergeCell ref="A63:A86"/>
    <mergeCell ref="B63:B65"/>
    <mergeCell ref="B68:B71"/>
    <mergeCell ref="D41:L41"/>
    <mergeCell ref="B43:B46"/>
    <mergeCell ref="D45:L45"/>
    <mergeCell ref="D46:L46"/>
    <mergeCell ref="B48:B51"/>
    <mergeCell ref="D50:L50"/>
    <mergeCell ref="B53:B56"/>
    <mergeCell ref="B38:B41"/>
    <mergeCell ref="D40:L40"/>
    <mergeCell ref="B99:B102"/>
    <mergeCell ref="B4:M4"/>
    <mergeCell ref="D8:L8"/>
    <mergeCell ref="D9:L9"/>
    <mergeCell ref="D13:L13"/>
    <mergeCell ref="D14:L14"/>
    <mergeCell ref="D18:L18"/>
    <mergeCell ref="D19:L19"/>
    <mergeCell ref="B16:B19"/>
    <mergeCell ref="B11:B14"/>
    <mergeCell ref="B6:B9"/>
    <mergeCell ref="M6:M19"/>
    <mergeCell ref="D26:L26"/>
    <mergeCell ref="M23:M24"/>
    <mergeCell ref="M179:M182"/>
    <mergeCell ref="M184:M187"/>
    <mergeCell ref="M121:M124"/>
    <mergeCell ref="M126:M129"/>
    <mergeCell ref="M131:M134"/>
    <mergeCell ref="M142:M145"/>
    <mergeCell ref="M147:M150"/>
    <mergeCell ref="M83:M86"/>
    <mergeCell ref="M94:M97"/>
    <mergeCell ref="M99:M102"/>
    <mergeCell ref="M104:M107"/>
    <mergeCell ref="M109:M113"/>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FD3DC1A47F5E604A896B7055E7B0ECC2" ma:contentTypeVersion="5" ma:contentTypeDescription="Logical framework (Logframe) Content Type for Transparency" ma:contentTypeScope="" ma:versionID="b5eb3f3b9823c353fdcbdb2f58817c9c">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300857</AmpProgrammeId>
    <ContentDescription xmlns="1dfeaaf3-78af-4f3c-9a64-5b70949f85ef">Very Final Version 2026</ContentDescription>
    <ProjectLanguage xmlns="1dfeaaf3-78af-4f3c-9a64-5b70949f85ef">English</ProjectLanguage>
    <DocumentIdentifier xmlns="1dfeaaf3-78af-4f3c-9a64-5b70949f85ef">S30085716</DocumentIdentifier>
    <Exclusion_x0020_Applied xmlns="1dfeaaf3-78af-4f3c-9a64-5b70949f85ef">false</Exclusion_x0020_Applied>
    <PublishingState xmlns="1dfeaaf3-78af-4f3c-9a64-5b70949f85ef">Not Published</PublishingSt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3522A-7FBD-44F9-9414-D65A601C308C}"/>
</file>

<file path=customXml/itemProps2.xml><?xml version="1.0" encoding="utf-8"?>
<ds:datastoreItem xmlns:ds="http://schemas.openxmlformats.org/officeDocument/2006/customXml" ds:itemID="{4785A5C0-4DA5-4788-A2E4-422E55E5875A}"/>
</file>

<file path=customXml/itemProps3.xml><?xml version="1.0" encoding="utf-8"?>
<ds:datastoreItem xmlns:ds="http://schemas.openxmlformats.org/officeDocument/2006/customXml" ds:itemID="{FEBD57A0-F59C-4AAD-8B60-CB53905C70A0}"/>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
  <cp:revision/>
  <dcterms:created xsi:type="dcterms:W3CDTF">2010-10-26T15:58:14Z</dcterms:created>
  <dcterms:modified xsi:type="dcterms:W3CDTF">2026-05-25T06:10:00Z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0x010100A9E804AD2130B047BEB1B1355903FA590300FD3DC1A47F5E604A896B7055E7B0ECC2</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TaxKeyword">
    <vt:lpwstr/>
  </property>
  <property fmtid="{D5CDD505-2E9C-101B-9397-08002B2CF9AE}" pid="23" name="SystemDTAC">
    <vt:lpwstr/>
  </property>
  <property fmtid="{D5CDD505-2E9C-101B-9397-08002B2CF9AE}" pid="24" name="Topic">
    <vt:lpwstr/>
  </property>
  <property fmtid="{D5CDD505-2E9C-101B-9397-08002B2CF9AE}" pid="25" name="MediaServiceImageTags">
    <vt:lpwstr/>
  </property>
  <property fmtid="{D5CDD505-2E9C-101B-9397-08002B2CF9AE}" pid="26" name="OfficeDivision">
    <vt:lpwstr>3;#Somalia-3920|dd52b8dd-6373-4926-92ca-729c65ce3257</vt:lpwstr>
  </property>
  <property fmtid="{D5CDD505-2E9C-101B-9397-08002B2CF9AE}" pid="27" name="CriticalForLongTermRetention">
    <vt:lpwstr/>
  </property>
  <property fmtid="{D5CDD505-2E9C-101B-9397-08002B2CF9AE}" pid="28" name="DocumentType">
    <vt:lpwstr/>
  </property>
  <property fmtid="{D5CDD505-2E9C-101B-9397-08002B2CF9AE}" pid="29" name="GeographicScope">
    <vt:lpwstr/>
  </property>
  <property fmtid="{D5CDD505-2E9C-101B-9397-08002B2CF9AE}" pid="30" name="ContentLanguage">
    <vt:lpwstr>English</vt:lpwstr>
  </property>
  <property fmtid="{D5CDD505-2E9C-101B-9397-08002B2CF9AE}" pid="31" name="ga975397408f43e4b84ec8e5a598e523">
    <vt:lpwstr>Somalia-3920|dd52b8dd-6373-4926-92ca-729c65ce3257</vt:lpwstr>
  </property>
  <property fmtid="{D5CDD505-2E9C-101B-9397-08002B2CF9AE}" pid="32" name="WrittenBy">
    <vt:lpwstr/>
  </property>
  <property fmtid="{D5CDD505-2E9C-101B-9397-08002B2CF9AE}" pid="33" name="TaxCatchAll">
    <vt:lpwstr>3;#</vt:lpwstr>
  </property>
</Properties>
</file>