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https://fcogovuk.sharepoint.com/teams/ProductivityforProsperityP4P/Shared Documents/Annual Reviews/Annual Review 2025/AR Reviewed &amp; Final Draft/"/>
    </mc:Choice>
  </mc:AlternateContent>
  <xr:revisionPtr revIDLastSave="0" documentId="8_{07EDBFBE-68AE-4E40-BBBE-8016E4A22091}" xr6:coauthVersionLast="47" xr6:coauthVersionMax="47" xr10:uidLastSave="{00000000-0000-0000-0000-000000000000}"/>
  <bookViews>
    <workbookView xWindow="-110" yWindow="-110" windowWidth="19420" windowHeight="10420" tabRatio="728" xr2:uid="{8631ECF3-5EA6-46D7-AC28-B2FC6E169047}"/>
  </bookViews>
  <sheets>
    <sheet name="Master Logframe" sheetId="5" r:id="rId1"/>
    <sheet name="Aceli Africa" sheetId="10" r:id="rId2"/>
    <sheet name="Manufacturing Africa" sheetId="1" r:id="rId3"/>
    <sheet name="ODI" sheetId="9" r:id="rId4"/>
    <sheet name="Green Growth Facility" sheetId="11" r:id="rId5"/>
  </sheets>
  <definedNames>
    <definedName name="_xlnm.Print_Area" localSheetId="0">'Master Logframe'!$A$1:$N$305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5" i="5" l="1"/>
  <c r="H83" i="5"/>
  <c r="I277" i="5"/>
  <c r="J277" i="5"/>
  <c r="K277" i="5"/>
  <c r="I276" i="5"/>
  <c r="J276" i="5"/>
  <c r="K276" i="5"/>
  <c r="H101" i="5"/>
  <c r="H100" i="5"/>
  <c r="J60" i="5"/>
  <c r="O81" i="5"/>
  <c r="I151" i="5"/>
  <c r="J151" i="5"/>
  <c r="K151" i="5"/>
  <c r="H151" i="5"/>
  <c r="I150" i="5"/>
  <c r="J150" i="5"/>
  <c r="K150" i="5"/>
  <c r="H150" i="5"/>
  <c r="I147" i="5"/>
  <c r="J147" i="5"/>
  <c r="K147" i="5"/>
  <c r="I146" i="5"/>
  <c r="J146" i="5"/>
  <c r="K146" i="5"/>
  <c r="I142" i="5"/>
  <c r="J142" i="5"/>
  <c r="K142" i="5"/>
  <c r="L142" i="5"/>
  <c r="M142" i="5"/>
  <c r="I140" i="5"/>
  <c r="I139" i="5" s="1"/>
  <c r="J140" i="5"/>
  <c r="J139" i="5" s="1"/>
  <c r="I135" i="5"/>
  <c r="J135" i="5"/>
  <c r="K135" i="5"/>
  <c r="I134" i="5"/>
  <c r="J134" i="5"/>
  <c r="K134" i="5"/>
  <c r="H129" i="5"/>
  <c r="J128" i="5"/>
  <c r="K128" i="5"/>
  <c r="I128" i="5"/>
  <c r="I130" i="5"/>
  <c r="J130" i="5"/>
  <c r="K130" i="5"/>
  <c r="H130" i="5"/>
  <c r="I126" i="5"/>
  <c r="J126" i="5"/>
  <c r="K126" i="5"/>
  <c r="H126" i="5"/>
  <c r="I118" i="5"/>
  <c r="H118" i="5"/>
  <c r="J114" i="5"/>
  <c r="J107" i="5"/>
  <c r="J108" i="5"/>
  <c r="K111" i="5"/>
  <c r="I112" i="5"/>
  <c r="J104" i="5"/>
  <c r="K104" i="5"/>
  <c r="I100" i="5"/>
  <c r="I88" i="5"/>
  <c r="H87" i="5"/>
  <c r="J84" i="5"/>
  <c r="H81" i="5"/>
  <c r="H80" i="5"/>
  <c r="I52" i="5"/>
  <c r="J52" i="5"/>
  <c r="K52" i="5"/>
  <c r="H52" i="5"/>
  <c r="J42" i="5"/>
  <c r="K42" i="5"/>
  <c r="J43" i="5"/>
  <c r="K43" i="5"/>
  <c r="I43" i="5"/>
  <c r="I42" i="5"/>
  <c r="J35" i="5"/>
  <c r="K35" i="5"/>
  <c r="J36" i="5"/>
  <c r="K36" i="5"/>
  <c r="I36" i="5"/>
  <c r="I35" i="5"/>
  <c r="I29" i="5"/>
  <c r="J29" i="5"/>
  <c r="K29" i="5"/>
  <c r="I30" i="5"/>
  <c r="J30" i="5"/>
  <c r="K30" i="5"/>
  <c r="I22" i="5"/>
  <c r="J22" i="5"/>
  <c r="K22" i="5"/>
  <c r="I23" i="5"/>
  <c r="J23" i="5"/>
  <c r="K23" i="5"/>
  <c r="J18" i="5"/>
  <c r="K18" i="5"/>
  <c r="J19" i="5"/>
  <c r="K19" i="5"/>
  <c r="I19" i="5"/>
  <c r="I18" i="5"/>
  <c r="H18" i="5"/>
  <c r="J15" i="5"/>
  <c r="K15" i="5"/>
  <c r="J16" i="5"/>
  <c r="K16" i="5"/>
  <c r="I15" i="5"/>
  <c r="I16" i="5"/>
  <c r="H16" i="5"/>
  <c r="H15" i="5"/>
  <c r="J11" i="5"/>
  <c r="K11" i="5"/>
  <c r="J12" i="5"/>
  <c r="K12" i="5"/>
  <c r="I12" i="5"/>
  <c r="I11" i="5"/>
  <c r="H11" i="5"/>
  <c r="H12" i="5"/>
  <c r="J9" i="5"/>
  <c r="K9" i="5"/>
  <c r="J8" i="5"/>
  <c r="K8" i="5"/>
  <c r="I9" i="5"/>
  <c r="I8" i="5"/>
  <c r="H9" i="5"/>
  <c r="H8" i="5"/>
  <c r="K5" i="5"/>
  <c r="J5" i="5"/>
  <c r="I5" i="5"/>
  <c r="J4" i="5"/>
  <c r="K4" i="5"/>
  <c r="I4" i="5"/>
  <c r="J70" i="5"/>
  <c r="K70" i="5"/>
  <c r="I67" i="5"/>
  <c r="J67" i="5"/>
  <c r="K67" i="5"/>
  <c r="H67" i="5"/>
  <c r="I66" i="5"/>
  <c r="J65" i="5"/>
  <c r="K62" i="5"/>
  <c r="H62" i="5"/>
  <c r="K60" i="5"/>
  <c r="I60" i="5"/>
  <c r="Q62" i="5"/>
  <c r="I97" i="5" s="1"/>
  <c r="H60" i="5"/>
  <c r="H210" i="5"/>
  <c r="H198" i="5"/>
  <c r="H287" i="5"/>
  <c r="H286" i="5"/>
  <c r="H282" i="5"/>
  <c r="H281" i="5"/>
  <c r="H277" i="5"/>
  <c r="H276" i="5"/>
  <c r="H271" i="5"/>
  <c r="H272" i="5"/>
  <c r="H270" i="5"/>
  <c r="H268" i="5"/>
  <c r="H269" i="5"/>
  <c r="H267" i="5"/>
  <c r="H262" i="5"/>
  <c r="H263" i="5"/>
  <c r="H261" i="5"/>
  <c r="H259" i="5"/>
  <c r="H260" i="5"/>
  <c r="H258" i="5"/>
  <c r="H253" i="5"/>
  <c r="H254" i="5"/>
  <c r="H252" i="5"/>
  <c r="H251" i="5"/>
  <c r="H250" i="5"/>
  <c r="H249" i="5"/>
  <c r="H147" i="5"/>
  <c r="H146" i="5"/>
  <c r="H142" i="5"/>
  <c r="H141" i="5" s="1"/>
  <c r="H140" i="5"/>
  <c r="H139" i="5" s="1"/>
  <c r="H135" i="5"/>
  <c r="H134" i="5"/>
  <c r="H30" i="5"/>
  <c r="H29" i="5"/>
  <c r="H23" i="5"/>
  <c r="H22" i="5"/>
  <c r="J142" i="11"/>
  <c r="I142" i="11"/>
  <c r="H142" i="11"/>
  <c r="G142" i="11"/>
  <c r="F142" i="11"/>
  <c r="E142" i="11"/>
  <c r="J123" i="11"/>
  <c r="I123" i="11"/>
  <c r="H123" i="11"/>
  <c r="G123" i="11"/>
  <c r="F123" i="11"/>
  <c r="E123" i="11"/>
  <c r="E105" i="11"/>
  <c r="J104" i="11"/>
  <c r="I104" i="11"/>
  <c r="H104" i="11"/>
  <c r="G104" i="11"/>
  <c r="F104" i="11"/>
  <c r="E104" i="11"/>
  <c r="J97" i="11"/>
  <c r="I97" i="11"/>
  <c r="H97" i="11"/>
  <c r="G97" i="11"/>
  <c r="F97" i="11"/>
  <c r="E97" i="11"/>
  <c r="J88" i="11"/>
  <c r="I88" i="11"/>
  <c r="H88" i="11"/>
  <c r="G88" i="11"/>
  <c r="F88" i="11"/>
  <c r="E88" i="11"/>
  <c r="J79" i="11"/>
  <c r="I79" i="11"/>
  <c r="H79" i="11"/>
  <c r="G79" i="11"/>
  <c r="F79" i="11"/>
  <c r="E79" i="11"/>
  <c r="J74" i="11"/>
  <c r="I74" i="11"/>
  <c r="H74" i="11"/>
  <c r="G74" i="11"/>
  <c r="F74" i="11"/>
  <c r="E74" i="11"/>
  <c r="J70" i="11"/>
  <c r="I70" i="11"/>
  <c r="J69" i="11"/>
  <c r="I69" i="11"/>
  <c r="H69" i="11"/>
  <c r="G69" i="11"/>
  <c r="F69" i="11"/>
  <c r="E69" i="11"/>
  <c r="J64" i="11"/>
  <c r="I64" i="11"/>
  <c r="H64" i="11"/>
  <c r="G64" i="11"/>
  <c r="F64" i="11"/>
  <c r="E64" i="11"/>
  <c r="J55" i="11"/>
  <c r="I55" i="11"/>
  <c r="H55" i="11"/>
  <c r="G55" i="11"/>
  <c r="F55" i="11"/>
  <c r="E55" i="11"/>
  <c r="J44" i="11"/>
  <c r="I44" i="11"/>
  <c r="H44" i="11"/>
  <c r="G44" i="11"/>
  <c r="F44" i="11"/>
  <c r="E44" i="11"/>
  <c r="F35" i="11"/>
  <c r="E35" i="11"/>
  <c r="J33" i="11"/>
  <c r="I33" i="11"/>
  <c r="H33" i="11"/>
  <c r="G33" i="11"/>
  <c r="F33" i="11"/>
  <c r="E33" i="11"/>
  <c r="J29" i="11"/>
  <c r="I29" i="11"/>
  <c r="H29" i="11"/>
  <c r="G29" i="11"/>
  <c r="F29" i="11"/>
  <c r="E29" i="11"/>
  <c r="F20" i="11"/>
  <c r="E20" i="11"/>
  <c r="J18" i="11"/>
  <c r="I18" i="11"/>
  <c r="H18" i="11"/>
  <c r="G18" i="11"/>
  <c r="F18" i="11"/>
  <c r="E18" i="11"/>
  <c r="J14" i="11"/>
  <c r="I14" i="11"/>
  <c r="H14" i="11"/>
  <c r="G14" i="11"/>
  <c r="F14" i="11"/>
  <c r="E14" i="11"/>
  <c r="F7" i="11"/>
  <c r="E7" i="11"/>
  <c r="F5" i="11"/>
  <c r="E5" i="11"/>
  <c r="J62" i="5" l="1"/>
  <c r="I70" i="5"/>
  <c r="K81" i="5"/>
  <c r="K87" i="5"/>
  <c r="I101" i="5"/>
  <c r="I104" i="5"/>
  <c r="J111" i="5"/>
  <c r="H119" i="5"/>
  <c r="K58" i="5"/>
  <c r="I62" i="5"/>
  <c r="I81" i="5"/>
  <c r="J87" i="5"/>
  <c r="K101" i="5"/>
  <c r="K99" i="5" s="1"/>
  <c r="H104" i="5"/>
  <c r="I111" i="5"/>
  <c r="H114" i="5"/>
  <c r="K119" i="5"/>
  <c r="H58" i="5"/>
  <c r="I63" i="5"/>
  <c r="H77" i="5"/>
  <c r="H94" i="5"/>
  <c r="J101" i="5"/>
  <c r="J99" i="5" s="1"/>
  <c r="H105" i="5"/>
  <c r="H99" i="5" s="1"/>
  <c r="H111" i="5"/>
  <c r="H107" i="5"/>
  <c r="H115" i="5"/>
  <c r="H113" i="5" s="1"/>
  <c r="J119" i="5"/>
  <c r="I59" i="5"/>
  <c r="H65" i="5"/>
  <c r="J77" i="5"/>
  <c r="K84" i="5"/>
  <c r="I93" i="5"/>
  <c r="K100" i="5"/>
  <c r="K105" i="5"/>
  <c r="H112" i="5"/>
  <c r="H108" i="5"/>
  <c r="H106" i="5" s="1"/>
  <c r="I114" i="5"/>
  <c r="I119" i="5"/>
  <c r="I65" i="5"/>
  <c r="J69" i="5"/>
  <c r="K76" i="5"/>
  <c r="K94" i="5"/>
  <c r="J100" i="5"/>
  <c r="J105" i="5"/>
  <c r="K112" i="5"/>
  <c r="I107" i="5"/>
  <c r="I115" i="5"/>
  <c r="K118" i="5"/>
  <c r="K65" i="5"/>
  <c r="I69" i="5"/>
  <c r="J76" i="5"/>
  <c r="K83" i="5"/>
  <c r="I105" i="5"/>
  <c r="J112" i="5"/>
  <c r="I108" i="5"/>
  <c r="J115" i="5"/>
  <c r="J118" i="5"/>
  <c r="H93" i="5"/>
  <c r="H97" i="5"/>
  <c r="H98" i="5"/>
  <c r="K98" i="5"/>
  <c r="J81" i="5"/>
  <c r="J83" i="5"/>
  <c r="I87" i="5"/>
  <c r="I94" i="5"/>
  <c r="J98" i="5"/>
  <c r="I98" i="5"/>
  <c r="K97" i="5"/>
  <c r="H63" i="5"/>
  <c r="H69" i="5"/>
  <c r="I76" i="5"/>
  <c r="K80" i="5"/>
  <c r="H88" i="5"/>
  <c r="J94" i="5"/>
  <c r="H59" i="5"/>
  <c r="K63" i="5"/>
  <c r="K66" i="5"/>
  <c r="H70" i="5"/>
  <c r="I77" i="5"/>
  <c r="J80" i="5"/>
  <c r="I83" i="5"/>
  <c r="K88" i="5"/>
  <c r="K93" i="5"/>
  <c r="J97" i="5"/>
  <c r="K59" i="5"/>
  <c r="K57" i="5" s="1"/>
  <c r="H66" i="5"/>
  <c r="H84" i="5"/>
  <c r="I58" i="5"/>
  <c r="J63" i="5"/>
  <c r="J57" i="5" s="1"/>
  <c r="J66" i="5"/>
  <c r="K69" i="5"/>
  <c r="K77" i="5"/>
  <c r="H76" i="5"/>
  <c r="H75" i="5" s="1"/>
  <c r="I80" i="5"/>
  <c r="I84" i="5"/>
  <c r="J88" i="5"/>
  <c r="J93" i="5"/>
  <c r="H184" i="5"/>
  <c r="H183" i="5"/>
  <c r="H182" i="5"/>
  <c r="H181" i="5"/>
  <c r="H177" i="5"/>
  <c r="H176" i="5"/>
  <c r="H172" i="5"/>
  <c r="H171" i="5"/>
  <c r="H167" i="5"/>
  <c r="H166" i="5"/>
  <c r="H162" i="5"/>
  <c r="H161" i="5"/>
  <c r="H160" i="5"/>
  <c r="H159" i="5"/>
  <c r="M166" i="5"/>
  <c r="K165" i="5"/>
  <c r="J165" i="5"/>
  <c r="I165" i="5"/>
  <c r="H165" i="5"/>
  <c r="G165" i="5"/>
  <c r="F165" i="5"/>
  <c r="E165" i="5"/>
  <c r="D165" i="5"/>
  <c r="H128" i="5"/>
  <c r="H124" i="5"/>
  <c r="H43" i="5"/>
  <c r="H42" i="5"/>
  <c r="H36" i="5"/>
  <c r="H34" i="5" s="1"/>
  <c r="H35" i="5"/>
  <c r="K92" i="5" l="1"/>
  <c r="H57" i="5"/>
  <c r="J82" i="5"/>
  <c r="I57" i="5"/>
  <c r="O82" i="5"/>
  <c r="I99" i="5"/>
  <c r="K82" i="5"/>
  <c r="J92" i="5"/>
  <c r="H92" i="5"/>
  <c r="J75" i="5"/>
  <c r="I92" i="5"/>
  <c r="I82" i="5"/>
  <c r="H82" i="5"/>
  <c r="I75" i="5"/>
  <c r="K75" i="5"/>
  <c r="H26" i="5"/>
  <c r="H25" i="5"/>
  <c r="H19" i="5"/>
  <c r="H5" i="5"/>
  <c r="H4" i="5"/>
  <c r="R83" i="10"/>
  <c r="P83" i="10"/>
  <c r="Q82" i="10"/>
  <c r="R82" i="10" s="1"/>
  <c r="N82" i="10"/>
  <c r="K82" i="10"/>
  <c r="Q81" i="10"/>
  <c r="R81" i="10" s="1"/>
  <c r="E81" i="10"/>
  <c r="E82" i="10" s="1"/>
  <c r="R80" i="10"/>
  <c r="Q80" i="10"/>
  <c r="P80" i="10"/>
  <c r="M80" i="10"/>
  <c r="I80" i="10"/>
  <c r="E80" i="10"/>
  <c r="D80" i="10"/>
  <c r="D76" i="10"/>
  <c r="Q75" i="10"/>
  <c r="R75" i="10" s="1"/>
  <c r="R74" i="10"/>
  <c r="Q74" i="10"/>
  <c r="P74" i="10"/>
  <c r="M74" i="10"/>
  <c r="I74" i="10"/>
  <c r="E74" i="10"/>
  <c r="D74" i="10"/>
  <c r="R70" i="10"/>
  <c r="Q70" i="10"/>
  <c r="R69" i="10"/>
  <c r="Q69" i="10"/>
  <c r="P69" i="10"/>
  <c r="M69" i="10"/>
  <c r="I69" i="10"/>
  <c r="E69" i="10"/>
  <c r="D69" i="10"/>
  <c r="R65" i="10"/>
  <c r="R64" i="10"/>
  <c r="P64" i="10"/>
  <c r="M64" i="10"/>
  <c r="I64" i="10"/>
  <c r="E64" i="10"/>
  <c r="D64" i="10"/>
  <c r="N60" i="10"/>
  <c r="R59" i="10"/>
  <c r="Q59" i="10"/>
  <c r="N59" i="10"/>
  <c r="K59" i="10"/>
  <c r="I59" i="10"/>
  <c r="E59" i="10"/>
  <c r="R58" i="10"/>
  <c r="Q58" i="10"/>
  <c r="N58" i="10"/>
  <c r="I58" i="10"/>
  <c r="M58" i="10" s="1"/>
  <c r="M59" i="10" s="1"/>
  <c r="R57" i="10"/>
  <c r="Q57" i="10"/>
  <c r="P57" i="10"/>
  <c r="M57" i="10"/>
  <c r="I57" i="10"/>
  <c r="E57" i="10"/>
  <c r="D57" i="10"/>
  <c r="R54" i="10"/>
  <c r="Q54" i="10"/>
  <c r="P54" i="10"/>
  <c r="M54" i="10"/>
  <c r="I54" i="10"/>
  <c r="D54" i="10"/>
  <c r="R53" i="10"/>
  <c r="Q53" i="10"/>
  <c r="P53" i="10"/>
  <c r="M53" i="10"/>
  <c r="I53" i="10"/>
  <c r="D53" i="10"/>
  <c r="R52" i="10"/>
  <c r="Q52" i="10"/>
  <c r="P52" i="10"/>
  <c r="M52" i="10"/>
  <c r="I52" i="10"/>
  <c r="E52" i="10"/>
  <c r="D52" i="10"/>
  <c r="Q47" i="10"/>
  <c r="R47" i="10" s="1"/>
  <c r="R46" i="10"/>
  <c r="Q46" i="10"/>
  <c r="P46" i="10"/>
  <c r="M46" i="10"/>
  <c r="I46" i="10"/>
  <c r="E46" i="10"/>
  <c r="D46" i="10"/>
  <c r="R43" i="10"/>
  <c r="N43" i="10"/>
  <c r="K43" i="10"/>
  <c r="I43" i="10"/>
  <c r="G43" i="10"/>
  <c r="E43" i="10"/>
  <c r="N42" i="10"/>
  <c r="K42" i="10"/>
  <c r="R42" i="10" s="1"/>
  <c r="I42" i="10"/>
  <c r="G42" i="10"/>
  <c r="E42" i="10"/>
  <c r="N41" i="10"/>
  <c r="K41" i="10"/>
  <c r="I41" i="10"/>
  <c r="G41" i="10"/>
  <c r="R41" i="10" s="1"/>
  <c r="E41" i="10"/>
  <c r="N40" i="10"/>
  <c r="K40" i="10"/>
  <c r="I40" i="10"/>
  <c r="G40" i="10"/>
  <c r="E40" i="10"/>
  <c r="R40" i="10" s="1"/>
  <c r="P39" i="10"/>
  <c r="Q38" i="10"/>
  <c r="Q39" i="10" s="1"/>
  <c r="R39" i="10" s="1"/>
  <c r="P38" i="10"/>
  <c r="P37" i="10"/>
  <c r="Q37" i="10" s="1"/>
  <c r="R37" i="10" s="1"/>
  <c r="P36" i="10"/>
  <c r="Q36" i="10" s="1"/>
  <c r="R36" i="10" s="1"/>
  <c r="R35" i="10"/>
  <c r="Q35" i="10"/>
  <c r="P35" i="10"/>
  <c r="M35" i="10"/>
  <c r="I35" i="10"/>
  <c r="E35" i="10"/>
  <c r="D35" i="10"/>
  <c r="Q30" i="10"/>
  <c r="R30" i="10" s="1"/>
  <c r="E30" i="10"/>
  <c r="D30" i="10"/>
  <c r="Q29" i="10"/>
  <c r="R29" i="10" s="1"/>
  <c r="E29" i="10"/>
  <c r="I29" i="10" s="1"/>
  <c r="R28" i="10"/>
  <c r="Q28" i="10"/>
  <c r="P28" i="10"/>
  <c r="M28" i="10"/>
  <c r="I28" i="10"/>
  <c r="E28" i="10"/>
  <c r="D28" i="10"/>
  <c r="D25" i="10"/>
  <c r="R23" i="10"/>
  <c r="Q23" i="10"/>
  <c r="E23" i="10"/>
  <c r="D23" i="10"/>
  <c r="Q22" i="10"/>
  <c r="R22" i="10" s="1"/>
  <c r="E22" i="10"/>
  <c r="I22" i="10" s="1"/>
  <c r="R21" i="10"/>
  <c r="Q21" i="10"/>
  <c r="P21" i="10"/>
  <c r="M21" i="10"/>
  <c r="I21" i="10"/>
  <c r="E21" i="10"/>
  <c r="D21" i="10"/>
  <c r="R17" i="10"/>
  <c r="N17" i="10"/>
  <c r="K17" i="10"/>
  <c r="I17" i="10"/>
  <c r="G17" i="10"/>
  <c r="E17" i="10"/>
  <c r="R16" i="10"/>
  <c r="N16" i="10"/>
  <c r="M16" i="10"/>
  <c r="K16" i="10"/>
  <c r="I16" i="10"/>
  <c r="G16" i="10"/>
  <c r="E16" i="10"/>
  <c r="Q15" i="10"/>
  <c r="R15" i="10" s="1"/>
  <c r="Q14" i="10"/>
  <c r="R14" i="10" s="1"/>
  <c r="K14" i="10"/>
  <c r="K15" i="10" s="1"/>
  <c r="R13" i="10"/>
  <c r="Q13" i="10"/>
  <c r="P13" i="10"/>
  <c r="M13" i="10"/>
  <c r="I13" i="10"/>
  <c r="E13" i="10"/>
  <c r="D13" i="10"/>
  <c r="N10" i="10"/>
  <c r="I10" i="10"/>
  <c r="G10" i="10"/>
  <c r="E10" i="10"/>
  <c r="N9" i="10"/>
  <c r="I9" i="10"/>
  <c r="G9" i="10"/>
  <c r="E9" i="10"/>
  <c r="I8" i="10"/>
  <c r="G8" i="10"/>
  <c r="E8" i="10"/>
  <c r="N7" i="10"/>
  <c r="N8" i="10" s="1"/>
  <c r="I7" i="10"/>
  <c r="G7" i="10"/>
  <c r="E7" i="10"/>
  <c r="Q6" i="10"/>
  <c r="R6" i="10" s="1"/>
  <c r="R5" i="10"/>
  <c r="Q5" i="10"/>
  <c r="Q4" i="10"/>
  <c r="R4" i="10" s="1"/>
  <c r="Q3" i="10"/>
  <c r="R3" i="10" s="1"/>
  <c r="M22" i="10" l="1"/>
  <c r="I23" i="10"/>
  <c r="M29" i="10"/>
  <c r="I30" i="10"/>
  <c r="E38" i="10"/>
  <c r="E39" i="10" s="1"/>
  <c r="I81" i="10"/>
  <c r="R38" i="10"/>
  <c r="E5" i="10"/>
  <c r="E6" i="10" s="1"/>
  <c r="E36" i="10"/>
  <c r="E37" i="10" s="1"/>
  <c r="E14" i="10"/>
  <c r="E15" i="10" s="1"/>
  <c r="E3" i="10"/>
  <c r="E4" i="10" s="1"/>
  <c r="M23" i="10" l="1"/>
  <c r="K22" i="10"/>
  <c r="K23" i="10" s="1"/>
  <c r="I14" i="10"/>
  <c r="I15" i="10" s="1"/>
  <c r="I5" i="10"/>
  <c r="I6" i="10" s="1"/>
  <c r="I3" i="10"/>
  <c r="I4" i="10" s="1"/>
  <c r="I36" i="10"/>
  <c r="I37" i="10" s="1"/>
  <c r="M81" i="10"/>
  <c r="I38" i="10"/>
  <c r="I39" i="10" s="1"/>
  <c r="I82" i="10"/>
  <c r="M30" i="10"/>
  <c r="K29" i="10"/>
  <c r="K30" i="10" s="1"/>
  <c r="M82" i="10" l="1"/>
  <c r="M3" i="10"/>
  <c r="M38" i="10"/>
  <c r="M5" i="10"/>
  <c r="M36" i="10"/>
  <c r="M37" i="10" l="1"/>
  <c r="K36" i="10"/>
  <c r="K37" i="10" s="1"/>
  <c r="K5" i="10"/>
  <c r="K6" i="10" s="1"/>
  <c r="M6" i="10"/>
  <c r="M39" i="10"/>
  <c r="K38" i="10"/>
  <c r="K39" i="10" s="1"/>
  <c r="K3" i="10"/>
  <c r="K4" i="10" s="1"/>
  <c r="M4" i="10"/>
  <c r="F300" i="5"/>
  <c r="K298" i="5" l="1"/>
  <c r="J298" i="5"/>
  <c r="I298" i="5"/>
  <c r="H298" i="5"/>
  <c r="G298" i="5"/>
  <c r="F298" i="5"/>
  <c r="E298" i="5"/>
  <c r="D298" i="5"/>
  <c r="F295" i="5"/>
  <c r="F294" i="5"/>
  <c r="K293" i="5"/>
  <c r="J293" i="5"/>
  <c r="I293" i="5"/>
  <c r="H293" i="5"/>
  <c r="G293" i="5"/>
  <c r="F293" i="5"/>
  <c r="E293" i="5"/>
  <c r="D293" i="5"/>
  <c r="B305" i="5"/>
  <c r="K230" i="5" l="1"/>
  <c r="H230" i="5"/>
  <c r="I230" i="5"/>
  <c r="J230" i="5"/>
  <c r="G230" i="5"/>
  <c r="H223" i="5"/>
  <c r="I223" i="5"/>
  <c r="J223" i="5"/>
  <c r="K223" i="5"/>
  <c r="G223" i="5"/>
  <c r="H214" i="5"/>
  <c r="I214" i="5"/>
  <c r="J214" i="5"/>
  <c r="K214" i="5"/>
  <c r="H216" i="5"/>
  <c r="I216" i="5"/>
  <c r="J216" i="5"/>
  <c r="K216" i="5"/>
  <c r="G216" i="5"/>
  <c r="G214" i="5"/>
  <c r="I198" i="5"/>
  <c r="J198" i="5"/>
  <c r="K198" i="5"/>
  <c r="G198" i="5"/>
  <c r="H197" i="5"/>
  <c r="I197" i="5"/>
  <c r="J197" i="5"/>
  <c r="K197" i="5"/>
  <c r="G197" i="5"/>
  <c r="H204" i="5"/>
  <c r="I204" i="5"/>
  <c r="J204" i="5"/>
  <c r="K204" i="5"/>
  <c r="G204" i="5"/>
  <c r="K202" i="5"/>
  <c r="H202" i="5"/>
  <c r="I202" i="5"/>
  <c r="J202" i="5"/>
  <c r="G202" i="5"/>
  <c r="K285" i="5"/>
  <c r="J285" i="5"/>
  <c r="I285" i="5"/>
  <c r="H285" i="5"/>
  <c r="G285" i="5"/>
  <c r="F285" i="5"/>
  <c r="E285" i="5"/>
  <c r="K280" i="5"/>
  <c r="D280" i="5"/>
  <c r="J280" i="5"/>
  <c r="I280" i="5"/>
  <c r="H280" i="5"/>
  <c r="G280" i="5"/>
  <c r="F280" i="5"/>
  <c r="E280" i="5"/>
  <c r="G135" i="5"/>
  <c r="G134" i="5"/>
  <c r="G142" i="5"/>
  <c r="G140" i="5"/>
  <c r="I129" i="5"/>
  <c r="J129" i="5"/>
  <c r="K129" i="5"/>
  <c r="H127" i="5"/>
  <c r="I125" i="5"/>
  <c r="J125" i="5"/>
  <c r="H125" i="5"/>
  <c r="G119" i="5"/>
  <c r="G118" i="5"/>
  <c r="J51" i="5"/>
  <c r="K51" i="5"/>
  <c r="I51" i="5"/>
  <c r="H51" i="5"/>
  <c r="I21" i="5"/>
  <c r="J21" i="5"/>
  <c r="K21" i="5"/>
  <c r="H21" i="5"/>
  <c r="I20" i="5"/>
  <c r="J20" i="5"/>
  <c r="K20" i="5"/>
  <c r="H20" i="5"/>
  <c r="G17" i="5" l="1"/>
  <c r="K125" i="5" l="1"/>
  <c r="H6" i="5" l="1"/>
  <c r="H7" i="5" s="1"/>
  <c r="I6" i="5"/>
  <c r="I7" i="5" s="1"/>
  <c r="J6" i="5"/>
  <c r="J7" i="5" s="1"/>
  <c r="J3" i="5" s="1"/>
  <c r="K6" i="5"/>
  <c r="K7" i="5" s="1"/>
  <c r="H196" i="5" l="1"/>
  <c r="I196" i="5"/>
  <c r="J196" i="5"/>
  <c r="G196" i="5"/>
  <c r="L31" i="1"/>
  <c r="L26" i="1"/>
  <c r="L21" i="1"/>
  <c r="L9" i="1"/>
  <c r="L5" i="1"/>
  <c r="G104" i="5" l="1"/>
  <c r="G97" i="5"/>
  <c r="H228" i="5"/>
  <c r="I228" i="5"/>
  <c r="J228" i="5"/>
  <c r="K228" i="5"/>
  <c r="G228" i="5"/>
  <c r="H221" i="5"/>
  <c r="I221" i="5"/>
  <c r="J221" i="5"/>
  <c r="K221" i="5"/>
  <c r="G221" i="5"/>
  <c r="H209" i="5"/>
  <c r="I209" i="5"/>
  <c r="J209" i="5"/>
  <c r="K209" i="5"/>
  <c r="G209" i="5"/>
  <c r="H195" i="5"/>
  <c r="I195" i="5"/>
  <c r="J195" i="5"/>
  <c r="K195" i="5"/>
  <c r="G195" i="5"/>
  <c r="G98" i="5" l="1"/>
  <c r="G105" i="5"/>
  <c r="K275" i="5" l="1"/>
  <c r="J275" i="5"/>
  <c r="I275" i="5"/>
  <c r="H275" i="5"/>
  <c r="G275" i="5"/>
  <c r="F275" i="5"/>
  <c r="E275" i="5"/>
  <c r="D275" i="5"/>
  <c r="K266" i="5"/>
  <c r="J266" i="5"/>
  <c r="I266" i="5"/>
  <c r="H266" i="5"/>
  <c r="G266" i="5"/>
  <c r="F266" i="5"/>
  <c r="E266" i="5"/>
  <c r="D266" i="5"/>
  <c r="K257" i="5"/>
  <c r="J257" i="5"/>
  <c r="I257" i="5"/>
  <c r="H257" i="5"/>
  <c r="G257" i="5"/>
  <c r="F257" i="5"/>
  <c r="E257" i="5"/>
  <c r="D257" i="5"/>
  <c r="K248" i="5"/>
  <c r="J248" i="5"/>
  <c r="I248" i="5"/>
  <c r="H248" i="5"/>
  <c r="G248" i="5"/>
  <c r="F248" i="5"/>
  <c r="E248" i="5"/>
  <c r="D248" i="5"/>
  <c r="K245" i="5"/>
  <c r="J245" i="5"/>
  <c r="I245" i="5"/>
  <c r="H245" i="5"/>
  <c r="G245" i="5"/>
  <c r="F245" i="5"/>
  <c r="K244" i="5"/>
  <c r="J244" i="5"/>
  <c r="I244" i="5"/>
  <c r="H244" i="5"/>
  <c r="G244" i="5"/>
  <c r="F244" i="5"/>
  <c r="K243" i="5"/>
  <c r="J243" i="5"/>
  <c r="I243" i="5"/>
  <c r="H243" i="5"/>
  <c r="G243" i="5"/>
  <c r="F243" i="5"/>
  <c r="E243" i="5"/>
  <c r="D243" i="5"/>
  <c r="K234" i="5"/>
  <c r="J234" i="5"/>
  <c r="I234" i="5"/>
  <c r="H234" i="5"/>
  <c r="G234" i="5"/>
  <c r="F234" i="5"/>
  <c r="E234" i="5"/>
  <c r="D234" i="5"/>
  <c r="K227" i="5"/>
  <c r="J227" i="5"/>
  <c r="I227" i="5"/>
  <c r="H227" i="5"/>
  <c r="G227" i="5"/>
  <c r="F227" i="5"/>
  <c r="E227" i="5"/>
  <c r="D227" i="5"/>
  <c r="K220" i="5"/>
  <c r="J220" i="5"/>
  <c r="I220" i="5"/>
  <c r="H220" i="5"/>
  <c r="G220" i="5"/>
  <c r="F220" i="5"/>
  <c r="E220" i="5"/>
  <c r="D220" i="5"/>
  <c r="K213" i="5"/>
  <c r="J213" i="5"/>
  <c r="I213" i="5"/>
  <c r="H213" i="5"/>
  <c r="G213" i="5"/>
  <c r="F213" i="5"/>
  <c r="E213" i="5"/>
  <c r="D213" i="5"/>
  <c r="K208" i="5"/>
  <c r="J208" i="5"/>
  <c r="I208" i="5"/>
  <c r="H208" i="5"/>
  <c r="G208" i="5"/>
  <c r="F208" i="5"/>
  <c r="E208" i="5"/>
  <c r="D208" i="5"/>
  <c r="K201" i="5"/>
  <c r="J201" i="5"/>
  <c r="I201" i="5"/>
  <c r="H201" i="5"/>
  <c r="G201" i="5"/>
  <c r="F201" i="5"/>
  <c r="E201" i="5"/>
  <c r="D201" i="5"/>
  <c r="K194" i="5"/>
  <c r="J194" i="5"/>
  <c r="I194" i="5"/>
  <c r="H194" i="5"/>
  <c r="G194" i="5"/>
  <c r="F194" i="5"/>
  <c r="E194" i="5"/>
  <c r="D194" i="5"/>
  <c r="K191" i="5"/>
  <c r="J191" i="5"/>
  <c r="I191" i="5"/>
  <c r="H191" i="5"/>
  <c r="G191" i="5"/>
  <c r="F191" i="5"/>
  <c r="D191" i="5"/>
  <c r="K190" i="5"/>
  <c r="J190" i="5"/>
  <c r="I190" i="5"/>
  <c r="H190" i="5"/>
  <c r="G190" i="5"/>
  <c r="K189" i="5"/>
  <c r="J189" i="5"/>
  <c r="I189" i="5"/>
  <c r="H189" i="5"/>
  <c r="G189" i="5"/>
  <c r="F189" i="5"/>
  <c r="E189" i="5"/>
  <c r="D189" i="5"/>
  <c r="K180" i="5"/>
  <c r="J180" i="5"/>
  <c r="I180" i="5"/>
  <c r="H180" i="5"/>
  <c r="G180" i="5"/>
  <c r="F180" i="5"/>
  <c r="E180" i="5"/>
  <c r="D180" i="5"/>
  <c r="K175" i="5"/>
  <c r="J175" i="5"/>
  <c r="I175" i="5"/>
  <c r="H175" i="5"/>
  <c r="G175" i="5"/>
  <c r="F175" i="5"/>
  <c r="E175" i="5"/>
  <c r="D175" i="5"/>
  <c r="K170" i="5"/>
  <c r="J170" i="5"/>
  <c r="I170" i="5"/>
  <c r="H170" i="5"/>
  <c r="G170" i="5"/>
  <c r="F170" i="5"/>
  <c r="E170" i="5"/>
  <c r="D170" i="5"/>
  <c r="K158" i="5"/>
  <c r="J158" i="5"/>
  <c r="I158" i="5"/>
  <c r="H158" i="5"/>
  <c r="G158" i="5"/>
  <c r="F158" i="5"/>
  <c r="E158" i="5"/>
  <c r="D158" i="5"/>
  <c r="K153" i="5"/>
  <c r="J153" i="5"/>
  <c r="I153" i="5"/>
  <c r="H153" i="5"/>
  <c r="G153" i="5"/>
  <c r="F153" i="5"/>
  <c r="E153" i="5"/>
  <c r="D153" i="5"/>
  <c r="D139" i="5"/>
  <c r="K138" i="5"/>
  <c r="J138" i="5"/>
  <c r="I138" i="5"/>
  <c r="H138" i="5"/>
  <c r="G138" i="5"/>
  <c r="F138" i="5"/>
  <c r="E138" i="5"/>
  <c r="D138" i="5"/>
  <c r="K133" i="5"/>
  <c r="J133" i="5"/>
  <c r="I133" i="5"/>
  <c r="H133" i="5"/>
  <c r="G133" i="5"/>
  <c r="F133" i="5"/>
  <c r="E133" i="5"/>
  <c r="D133" i="5"/>
  <c r="D123" i="5"/>
  <c r="K122" i="5"/>
  <c r="J122" i="5"/>
  <c r="I122" i="5"/>
  <c r="H122" i="5"/>
  <c r="G122" i="5"/>
  <c r="F122" i="5"/>
  <c r="E122" i="5"/>
  <c r="D122" i="5"/>
  <c r="D106" i="5"/>
  <c r="K91" i="5"/>
  <c r="J91" i="5"/>
  <c r="I91" i="5"/>
  <c r="H91" i="5"/>
  <c r="G91" i="5"/>
  <c r="F91" i="5"/>
  <c r="E91" i="5"/>
  <c r="D91" i="5"/>
  <c r="D82" i="5"/>
  <c r="K73" i="5"/>
  <c r="J73" i="5"/>
  <c r="I73" i="5"/>
  <c r="H73" i="5"/>
  <c r="G73" i="5"/>
  <c r="F73" i="5"/>
  <c r="E73" i="5"/>
  <c r="D73" i="5"/>
  <c r="D64" i="5"/>
  <c r="K56" i="5"/>
  <c r="J56" i="5"/>
  <c r="I56" i="5"/>
  <c r="H56" i="5"/>
  <c r="G56" i="5"/>
  <c r="F56" i="5"/>
  <c r="E56" i="5"/>
  <c r="D56" i="5"/>
  <c r="K50" i="5"/>
  <c r="J50" i="5"/>
  <c r="I50" i="5"/>
  <c r="H50" i="5"/>
  <c r="G50" i="5"/>
  <c r="F50" i="5"/>
  <c r="E50" i="5"/>
  <c r="D50" i="5"/>
  <c r="D41" i="5"/>
  <c r="K33" i="5"/>
  <c r="J33" i="5"/>
  <c r="I33" i="5"/>
  <c r="H33" i="5"/>
  <c r="G33" i="5"/>
  <c r="F33" i="5"/>
  <c r="E33" i="5"/>
  <c r="D33" i="5"/>
  <c r="D24" i="5"/>
  <c r="D17" i="5"/>
  <c r="I17" i="5" l="1"/>
  <c r="J24" i="5"/>
  <c r="D34" i="5"/>
  <c r="E113" i="5"/>
  <c r="F123" i="5"/>
  <c r="J113" i="5"/>
  <c r="H64" i="5"/>
  <c r="D10" i="5"/>
  <c r="F64" i="5"/>
  <c r="I106" i="5"/>
  <c r="J64" i="5"/>
  <c r="I64" i="5"/>
  <c r="D92" i="5"/>
  <c r="J106" i="5"/>
  <c r="J41" i="5"/>
  <c r="D57" i="5"/>
  <c r="E57" i="5"/>
  <c r="F92" i="5"/>
  <c r="D99" i="5"/>
  <c r="D3" i="5"/>
  <c r="D75" i="5"/>
  <c r="I41" i="5"/>
  <c r="K64" i="5"/>
  <c r="F113" i="5"/>
  <c r="E123" i="5"/>
  <c r="K41" i="5"/>
  <c r="E99" i="5"/>
  <c r="E17" i="5"/>
  <c r="E41" i="5"/>
  <c r="K113" i="5"/>
  <c r="F139" i="5"/>
  <c r="F17" i="5"/>
  <c r="F41" i="5"/>
  <c r="G41" i="5"/>
  <c r="G64" i="5"/>
  <c r="F82" i="5"/>
  <c r="F99" i="5"/>
  <c r="H17" i="5"/>
  <c r="F34" i="5"/>
  <c r="H41" i="5"/>
  <c r="G82" i="5"/>
  <c r="F106" i="5"/>
  <c r="G123" i="5"/>
  <c r="J17" i="5"/>
  <c r="K24" i="5"/>
  <c r="I113" i="5"/>
  <c r="F10" i="5"/>
  <c r="E64" i="5"/>
  <c r="E3" i="5"/>
  <c r="F57" i="5"/>
  <c r="E106" i="5"/>
  <c r="E24" i="5"/>
  <c r="F24" i="5"/>
  <c r="E75" i="5"/>
  <c r="E82" i="5"/>
  <c r="G106" i="5"/>
  <c r="G113" i="5"/>
  <c r="E139" i="5"/>
  <c r="F3" i="5"/>
  <c r="G24" i="5"/>
  <c r="E34" i="5"/>
  <c r="F75" i="5"/>
  <c r="E92" i="5"/>
  <c r="G139" i="5"/>
  <c r="E10" i="5"/>
  <c r="H123" i="5"/>
  <c r="I123" i="5"/>
  <c r="H24" i="5"/>
  <c r="I24" i="5"/>
  <c r="K17" i="5"/>
  <c r="K123" i="5"/>
  <c r="J123" i="5"/>
  <c r="G57" i="5" l="1"/>
  <c r="H10" i="5" l="1"/>
  <c r="H3" i="5" l="1"/>
  <c r="G75" i="5"/>
  <c r="G99" i="5"/>
  <c r="J34" i="5"/>
  <c r="G92" i="5"/>
  <c r="G3" i="5" l="1"/>
  <c r="G10" i="5"/>
  <c r="G34" i="5"/>
  <c r="I10" i="5" l="1"/>
  <c r="K3" i="5"/>
  <c r="K34" i="5"/>
  <c r="K10" i="5"/>
  <c r="I34" i="5"/>
  <c r="L90" i="1"/>
  <c r="L85" i="1"/>
  <c r="L81" i="1"/>
  <c r="L76" i="1"/>
  <c r="L71" i="1"/>
  <c r="L66" i="1"/>
  <c r="L61" i="1"/>
  <c r="L56" i="1"/>
  <c r="L45" i="1"/>
  <c r="I3" i="5" l="1"/>
  <c r="J1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tc={77EDE117-5040-4C7E-B334-7933D85476C8}</author>
    <author>tc={25A02613-2328-403E-BAB7-23D36D93CCB3}</author>
    <author>tc={E5A14CF9-AC16-430D-89B3-5172E58B7B31}</author>
    <author>tc={03F19AAF-B563-4AB3-AD83-127C57FCA9EF}</author>
    <author>tc={6A60E386-7513-4F43-9CBD-9BE98942D9CB}</author>
    <author>tc={10F6209A-0F34-432A-9DCD-1737DB6F8DD5}</author>
    <author>tc={53B9DD2C-B083-49C1-B278-D551ABDA0089}</author>
    <author>tc={DEFE6A26-D951-4884-A04B-D2282BF79FB0}</author>
  </authors>
  <commentList>
    <comment ref="B3" authorId="0" shapeId="0" xr:uid="{77EDE117-5040-4C7E-B334-7933D85476C8}">
      <text>
        <t>[Threaded comment]
Your version of Excel allows you to read this threaded comment; however, any edits to it will get removed if the file is opened in a newer version of Excel. Learn more: https://go.microsoft.com/fwlink/?linkid=870924
Comment:
    1. GGF are measuring new Jobs from FY26/27, 
2. MA are only contributing to new jobs and not jobs with improved income
3. MA doesn’t have women’s target (although they will report. We need to agree that they set the targets)</t>
      </text>
    </comment>
    <comment ref="K5" authorId="1" shapeId="0" xr:uid="{25A02613-2328-403E-BAB7-23D36D93CCB3}">
      <text>
        <t>[Threaded comment]
Your version of Excel allows you to read this threaded comment; however, any edits to it will get removed if the file is opened in a newer version of Excel. Learn more: https://go.microsoft.com/fwlink/?linkid=870924
Comment:
    Number of jobs is reported cumulatively so shouldn’t be less than the year before.</t>
      </text>
    </comment>
    <comment ref="K7" authorId="2" shapeId="0" xr:uid="{E5A14CF9-AC16-430D-89B3-5172E58B7B31}">
      <text>
        <t>[Threaded comment]
Your version of Excel allows you to read this threaded comment; however, any edits to it will get removed if the file is opened in a newer version of Excel. Learn more: https://go.microsoft.com/fwlink/?linkid=870924
Comment:
    I’ve suggested using 30%</t>
      </text>
    </comment>
    <comment ref="B34" authorId="3" shapeId="0" xr:uid="{03F19AAF-B563-4AB3-AD83-127C57FCA9EF}">
      <text>
        <t>[Threaded comment]
Your version of Excel allows you to read this threaded comment; however, any edits to it will get removed if the file is opened in a newer version of Excel. Learn more: https://go.microsoft.com/fwlink/?linkid=870924
Comment:
    Both MA and GGF are not contributing while their budget is 70% ICF</t>
      </text>
    </comment>
    <comment ref="B57" authorId="4" shapeId="0" xr:uid="{6A60E386-7513-4F43-9CBD-9BE98942D9CB}">
      <text>
        <t>[Threaded comment]
Your version of Excel allows you to read this threaded comment; however, any edits to it will get removed if the file is opened in a newer version of Excel. Learn more: https://go.microsoft.com/fwlink/?linkid=870924
Comment:
    Again, MA doesn’t have planned target for investment mobilized of which meet the 2x gender challenge</t>
      </text>
    </comment>
    <comment ref="B75" authorId="5" shapeId="0" xr:uid="{10F6209A-0F34-432A-9DCD-1737DB6F8DD5}">
      <text>
        <t>[Threaded comment]
Your version of Excel allows you to read this threaded comment; however, any edits to it will get removed if the file is opened in a newer version of Excel. Learn more: https://go.microsoft.com/fwlink/?linkid=870924
Comment:
    MA not contributing despite having a 70% ICF budget?</t>
      </text>
    </comment>
    <comment ref="B92" authorId="6" shapeId="0" xr:uid="{53B9DD2C-B083-49C1-B278-D551ABDA0089}">
      <text>
        <t>[Threaded comment]
Your version of Excel allows you to read this threaded comment; however, any edits to it will get removed if the file is opened in a newer version of Excel. Learn more: https://go.microsoft.com/fwlink/?linkid=870924
Comment:
    MA not contributing?</t>
      </text>
    </comment>
    <comment ref="B139" authorId="7" shapeId="0" xr:uid="{DEFE6A26-D951-4884-A04B-D2282BF79FB0}">
      <text>
        <t>[Threaded comment]
Your version of Excel allows you to read this threaded comment; however, any edits to it will get removed if the file is opened in a newer version of Excel. Learn more: https://go.microsoft.com/fwlink/?linkid=870924
Comment:
    GGF indicate to measure and report this at the end of the programme, Dec 2027? Is it?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tc={2F973C77-6722-4B48-8493-A6D63EA192EA}</author>
  </authors>
  <commentList>
    <comment ref="I31" authorId="0" shapeId="0" xr:uid="{2F973C77-6722-4B48-8493-A6D63EA192EA}">
      <text>
        <t>[Threaded comment]
Your version of Excel allows you to read this threaded comment; however, any edits to it will get removed if the file is opened in a newer version of Excel. Learn more: https://go.microsoft.com/fwlink/?linkid=870924
Comment:
    approved loan amount for C&amp;E loans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tc={6AA140B7-2A76-4693-8E2B-DA30908E147E}</author>
  </authors>
  <commentList>
    <comment ref="B66" authorId="0" shapeId="0" xr:uid="{6AA140B7-2A76-4693-8E2B-DA30908E147E}">
      <text>
        <t>[Threaded comment]
Your version of Excel allows you to read this threaded comment; however, any edits to it will get removed if the file is opened in a newer version of Excel. Learn more: https://go.microsoft.com/fwlink/?linkid=870924
Comment:
    Why not report which meet 2x?</t>
      </text>
    </comment>
  </commentList>
</comments>
</file>

<file path=xl/sharedStrings.xml><?xml version="1.0" encoding="utf-8"?>
<sst xmlns="http://schemas.openxmlformats.org/spreadsheetml/2006/main" count="1614" uniqueCount="489">
  <si>
    <t>Master Logframe: Productivity for Prosperity - Aceli Africa, Manufacturing Africa and the Green Growth Fund</t>
  </si>
  <si>
    <t>Last Updated: July 2024</t>
  </si>
  <si>
    <t>IMPACT</t>
  </si>
  <si>
    <t>Impact Indicator 1</t>
  </si>
  <si>
    <t>Baseline (Jun-2021)</t>
  </si>
  <si>
    <t>Total Cumulative</t>
  </si>
  <si>
    <t>comments</t>
  </si>
  <si>
    <t>Sustainable economic transformation in Tanzania through increased labour productivity and climate-resilience in job-creating sectors.</t>
  </si>
  <si>
    <r>
      <rPr>
        <sz val="10"/>
        <rFont val="Arial"/>
        <family val="2"/>
      </rPr>
      <t>Number of new jobs and number of jobs with improved incomes as result of programme's activities (cumulative, unique people).</t>
    </r>
    <r>
      <rPr>
        <sz val="10"/>
        <color rgb="FFFF0000"/>
        <rFont val="Arial"/>
        <family val="2"/>
      </rPr>
      <t xml:space="preserve"> 
</t>
    </r>
  </si>
  <si>
    <t>Planned: New Jobs (% women)</t>
  </si>
  <si>
    <t>Aceli Africa</t>
  </si>
  <si>
    <t>GGF
Aceli                                                                                                                                                MA</t>
  </si>
  <si>
    <t>of which women</t>
  </si>
  <si>
    <t>Manufacturing Africa</t>
  </si>
  <si>
    <t>Green Growth Facility</t>
  </si>
  <si>
    <t>Planned: Jobs with Improved Incomes (% women)</t>
  </si>
  <si>
    <t>Achieved: New Jobs (% women)</t>
  </si>
  <si>
    <t>Achieved: Jobs with Improved Incomes (% women)</t>
  </si>
  <si>
    <t>Source</t>
  </si>
  <si>
    <t>Aceli Africa Salesforce M&amp;E System; Green Growth Fund MEL System; Manufacturing Africa M&amp;E Systems</t>
  </si>
  <si>
    <t>Impact Indicator 2</t>
  </si>
  <si>
    <r>
      <rPr>
        <b/>
        <sz val="10"/>
        <rFont val="Arial"/>
        <family val="2"/>
      </rPr>
      <t>ICF KPI 4:</t>
    </r>
    <r>
      <rPr>
        <sz val="10"/>
        <rFont val="Arial"/>
        <family val="2"/>
      </rPr>
      <t xml:space="preserve"> Number of people whose climate resilience has been improved as a result of ICF (cumulative, unique people).
</t>
    </r>
    <r>
      <rPr>
        <b/>
        <sz val="10"/>
        <color rgb="FFC00000"/>
        <rFont val="Arial"/>
        <family val="2"/>
      </rPr>
      <t>[Aceli Only]</t>
    </r>
  </si>
  <si>
    <t>Planned (% women)</t>
  </si>
  <si>
    <t>Aceli
GGF not contributing</t>
  </si>
  <si>
    <t>Achieved (% women)</t>
  </si>
  <si>
    <t>Green Growth Fund</t>
  </si>
  <si>
    <r>
      <rPr>
        <b/>
        <sz val="10"/>
        <rFont val="Arial"/>
        <family val="2"/>
      </rPr>
      <t>Aceli Africa</t>
    </r>
    <r>
      <rPr>
        <sz val="10"/>
        <rFont val="Arial"/>
        <family val="2"/>
      </rPr>
      <t xml:space="preserve"> Lenders' data, Africert verfication visits with SMEs and sampled farmers;</t>
    </r>
    <r>
      <rPr>
        <b/>
        <sz val="10"/>
        <rFont val="Arial"/>
        <family val="2"/>
      </rPr>
      <t xml:space="preserve"> Green Growth</t>
    </r>
    <r>
      <rPr>
        <sz val="10"/>
        <rFont val="Arial"/>
        <family val="2"/>
      </rPr>
      <t xml:space="preserve"> Fund MEL System; </t>
    </r>
    <r>
      <rPr>
        <b/>
        <sz val="10"/>
        <rFont val="Arial"/>
        <family val="2"/>
      </rPr>
      <t>Manufacturing Africa</t>
    </r>
    <r>
      <rPr>
        <sz val="10"/>
        <rFont val="Arial"/>
        <family val="2"/>
      </rPr>
      <t xml:space="preserve"> M&amp;E Systems</t>
    </r>
  </si>
  <si>
    <t>Impact Indicator 3</t>
  </si>
  <si>
    <r>
      <t xml:space="preserve">Relative growth of agriprocessing, manufacturing and horticulture sectors vs agriculture (cumulative vs baseline).                                                                                                                                                                                        </t>
    </r>
    <r>
      <rPr>
        <b/>
        <sz val="10"/>
        <color rgb="FFFF0000"/>
        <rFont val="Arial"/>
        <family val="2"/>
      </rPr>
      <t>[MA Only]</t>
    </r>
  </si>
  <si>
    <t>Planned</t>
  </si>
  <si>
    <t>MA</t>
  </si>
  <si>
    <t>Achieved</t>
  </si>
  <si>
    <t>Manufacturing Africa M&amp;E Systems</t>
  </si>
  <si>
    <t>OUTCOME</t>
  </si>
  <si>
    <t>Outcome Indicator 1</t>
  </si>
  <si>
    <t>Assumptions</t>
  </si>
  <si>
    <t>A better business environment, increased investment (including climate and nature finance), improved business practices, and increased domestic and international trade.</t>
  </si>
  <si>
    <t>Investment mobilised as a result of programme's activities (cumulative, includes: domestic direct investment, foreign direct investment, portfolio investment). (Public investments?)</t>
  </si>
  <si>
    <t>Planned (2X Gender Challenge criteria)</t>
  </si>
  <si>
    <r>
      <rPr>
        <b/>
        <sz val="10"/>
        <rFont val="Arial"/>
        <family val="2"/>
      </rPr>
      <t xml:space="preserve">Political feasibility: </t>
    </r>
    <r>
      <rPr>
        <sz val="10"/>
        <rFont val="Arial"/>
        <family val="2"/>
      </rPr>
      <t xml:space="preserve">the assessment of political feasibility in the options appraisal is correct and remains steady.
</t>
    </r>
    <r>
      <rPr>
        <b/>
        <sz val="10"/>
        <rFont val="Arial"/>
        <family val="2"/>
      </rPr>
      <t>Domestic economic stability:</t>
    </r>
    <r>
      <rPr>
        <sz val="10"/>
        <rFont val="Arial"/>
        <family val="2"/>
      </rPr>
      <t xml:space="preserve"> Tanzania’s current broadly positive economic trajectory continues and there is not a major economic crisis.
</t>
    </r>
    <r>
      <rPr>
        <b/>
        <sz val="10"/>
        <rFont val="Arial"/>
        <family val="2"/>
      </rPr>
      <t xml:space="preserve">Global economic recovery: </t>
    </r>
    <r>
      <rPr>
        <sz val="10"/>
        <rFont val="Arial"/>
        <family val="2"/>
      </rPr>
      <t xml:space="preserve">the global economic recovery will continue its current trend, and the market for Tanzanian exports (notably agriculture and tourism) will grow.
</t>
    </r>
    <r>
      <rPr>
        <b/>
        <sz val="10"/>
        <rFont val="Arial"/>
        <family val="2"/>
      </rPr>
      <t xml:space="preserve">Private sector capacity: </t>
    </r>
    <r>
      <rPr>
        <sz val="10"/>
        <rFont val="Arial"/>
        <family val="2"/>
      </rPr>
      <t xml:space="preserve">there are sufficient SMEs in Tanzania that are capable of responding to technical assistance and absorbing investment.
</t>
    </r>
    <r>
      <rPr>
        <b/>
        <sz val="10"/>
        <rFont val="Arial"/>
        <family val="2"/>
      </rPr>
      <t xml:space="preserve">Effective delivery: </t>
    </r>
    <r>
      <rPr>
        <sz val="10"/>
        <rFont val="Arial"/>
        <family val="2"/>
      </rPr>
      <t xml:space="preserve">the contracted supplier is able to establish an office in Tanzania and recruit staff with the require expertise to implement the programme.
</t>
    </r>
    <r>
      <rPr>
        <b/>
        <sz val="10"/>
        <rFont val="Arial"/>
        <family val="2"/>
      </rPr>
      <t>Climate impacts:</t>
    </r>
    <r>
      <rPr>
        <sz val="10"/>
        <rFont val="Arial"/>
        <family val="2"/>
      </rPr>
      <t xml:space="preserve"> the climate change impacts on agriculture production will not be so severe as to render large proportions of the sector unviable within 10 years.</t>
    </r>
  </si>
  <si>
    <t>GGF, MA and Aceli</t>
  </si>
  <si>
    <t>of which meet the 2X Gender Challenge criteria</t>
  </si>
  <si>
    <t>Achieved (2X Gender Challenge criteria)</t>
  </si>
  <si>
    <t>Outcome Indicator 2</t>
  </si>
  <si>
    <r>
      <rPr>
        <b/>
        <sz val="10"/>
        <rFont val="Arial"/>
        <family val="2"/>
      </rPr>
      <t>ICF KPI 12:</t>
    </r>
    <r>
      <rPr>
        <sz val="10"/>
        <rFont val="Arial"/>
        <family val="2"/>
      </rPr>
      <t xml:space="preserve"> Volume of private finance mobilised for climate change purpose as a result of ICF (cumulative).</t>
    </r>
  </si>
  <si>
    <t>Aceli
GGF</t>
  </si>
  <si>
    <t>Aceli Africa Salesforce M&amp;E System, Lenders data; Green Growth Fund MEL System; Manufacturing Africa M&amp;E Systems</t>
  </si>
  <si>
    <t>Outcome Indicator 3</t>
  </si>
  <si>
    <t>Increase in sales and international trade as a direct result of programme's activities (annual sales, as measured by value of new purchase orders).</t>
  </si>
  <si>
    <t>Planned: Total Sales (2X Gender Challenge criteria)</t>
  </si>
  <si>
    <t>Aceli , GGF</t>
  </si>
  <si>
    <t>Planned: International Trade (2X Gender Challenge criteria)</t>
  </si>
  <si>
    <t>Achieved: Total Sales (2X Gender Challenge criteria)</t>
  </si>
  <si>
    <t>Achieved: International Trade (2X Gender Challenge criteria)</t>
  </si>
  <si>
    <r>
      <rPr>
        <b/>
        <sz val="10"/>
        <color rgb="FF000000"/>
        <rFont val="Arial"/>
      </rPr>
      <t>Aceli Africa</t>
    </r>
    <r>
      <rPr>
        <sz val="10"/>
        <color rgb="FF000000"/>
        <rFont val="Arial"/>
      </rPr>
      <t xml:space="preserve"> Salesforce M&amp;E System, Lenders data;</t>
    </r>
    <r>
      <rPr>
        <b/>
        <sz val="10"/>
        <color rgb="FF000000"/>
        <rFont val="Arial"/>
      </rPr>
      <t xml:space="preserve">         Green Growth Fund</t>
    </r>
    <r>
      <rPr>
        <sz val="10"/>
        <color rgb="FF000000"/>
        <rFont val="Arial"/>
      </rPr>
      <t xml:space="preserve"> MEL System;        </t>
    </r>
    <r>
      <rPr>
        <b/>
        <sz val="10"/>
        <color rgb="FF000000"/>
        <rFont val="Arial"/>
      </rPr>
      <t xml:space="preserve">Manufacturing Africa </t>
    </r>
    <r>
      <rPr>
        <sz val="10"/>
        <color rgb="FF000000"/>
        <rFont val="Arial"/>
      </rPr>
      <t>M&amp;E Systems</t>
    </r>
  </si>
  <si>
    <t>Outcome Indicator 4</t>
  </si>
  <si>
    <t>Number of effective TA interventions that improve the business environment and/or market system.</t>
  </si>
  <si>
    <t xml:space="preserve">MA, GGF, Aceli </t>
  </si>
  <si>
    <t xml:space="preserve"> “Policy reform” entails a change to legislation, strategy, or approach recorded in a public pronouncement; OR substantial improvements made to the operations of a government institution (cumulative).</t>
  </si>
  <si>
    <t>Outcome Indicator 5</t>
  </si>
  <si>
    <r>
      <rPr>
        <sz val="10"/>
        <color rgb="FF000000"/>
        <rFont val="Arial"/>
      </rPr>
      <t xml:space="preserve">Emissions reduced or avoided that have been supported by ICF TA (ICF TA KPI 5) </t>
    </r>
    <r>
      <rPr>
        <b/>
        <sz val="10"/>
        <color rgb="FFFF0000"/>
        <rFont val="Arial"/>
      </rPr>
      <t>- GGF Only</t>
    </r>
  </si>
  <si>
    <t xml:space="preserve">GGF </t>
  </si>
  <si>
    <t>GGF's indicator reference sheets.</t>
  </si>
  <si>
    <t>Outcome Indicator 6</t>
  </si>
  <si>
    <r>
      <rPr>
        <b/>
        <sz val="10"/>
        <color rgb="FF000000"/>
        <rFont val="Arial"/>
      </rPr>
      <t>ICF KPI 17:</t>
    </r>
    <r>
      <rPr>
        <sz val="10"/>
        <color rgb="FF000000"/>
        <rFont val="Arial"/>
      </rPr>
      <t xml:space="preserve"> Hectares of land that have received sustainable land management practices as a result of ICF (cumulative) </t>
    </r>
    <r>
      <rPr>
        <b/>
        <sz val="10"/>
        <color rgb="FFFF0000"/>
        <rFont val="Arial"/>
      </rPr>
      <t>- GGF Only</t>
    </r>
  </si>
  <si>
    <t>GGF</t>
  </si>
  <si>
    <t>Outcome Indicator 7</t>
  </si>
  <si>
    <r>
      <t xml:space="preserve">GGF only; </t>
    </r>
    <r>
      <rPr>
        <b/>
        <sz val="10"/>
        <color rgb="FFFF0000"/>
        <rFont val="Arial"/>
        <family val="2"/>
      </rPr>
      <t>check why Aceli isnt reporting (Alex)</t>
    </r>
  </si>
  <si>
    <r>
      <rPr>
        <b/>
        <sz val="10"/>
        <color rgb="FF000000"/>
        <rFont val="Arial"/>
      </rPr>
      <t>ICF KPI 15:</t>
    </r>
    <r>
      <rPr>
        <sz val="10"/>
        <color rgb="FF000000"/>
        <rFont val="Arial"/>
      </rPr>
      <t xml:space="preserve"> Extent to which ICF intervention is likely to lead to transformational change -</t>
    </r>
    <r>
      <rPr>
        <sz val="10"/>
        <color rgb="FFFF0000"/>
        <rFont val="Arial"/>
      </rPr>
      <t xml:space="preserve"> </t>
    </r>
    <r>
      <rPr>
        <b/>
        <sz val="10"/>
        <color rgb="FFFF0000"/>
        <rFont val="Arial"/>
      </rPr>
      <t>GGF Only</t>
    </r>
  </si>
  <si>
    <t>No target for Y1</t>
  </si>
  <si>
    <t>No target for Y2</t>
  </si>
  <si>
    <t>Source: GGF's indicator reference sheets.</t>
  </si>
  <si>
    <t>Outcome Indicator 8</t>
  </si>
  <si>
    <r>
      <rPr>
        <sz val="10"/>
        <color rgb="FF000000"/>
        <rFont val="Arial"/>
      </rPr>
      <t xml:space="preserve">Number of supported business environment reforms that receive ‘high level hearing’ within the GoT and number of GGF-supported TA interventions that the GoT deploys and are operational (cumulative) - </t>
    </r>
    <r>
      <rPr>
        <b/>
        <sz val="10"/>
        <color rgb="FFFF0000"/>
        <rFont val="Arial"/>
      </rPr>
      <t>GGF ONLY</t>
    </r>
  </si>
  <si>
    <r>
      <rPr>
        <b/>
        <sz val="10"/>
        <color rgb="FF000000"/>
        <rFont val="Arial"/>
      </rPr>
      <t xml:space="preserve">Source: </t>
    </r>
    <r>
      <rPr>
        <sz val="10"/>
        <color rgb="FF000000"/>
        <rFont val="Arial"/>
      </rPr>
      <t xml:space="preserve">GGF's indicator reference sheets.  </t>
    </r>
    <r>
      <rPr>
        <b/>
        <sz val="10"/>
        <color rgb="FF000000"/>
        <rFont val="Arial"/>
      </rPr>
      <t>Note:</t>
    </r>
    <r>
      <rPr>
        <sz val="10"/>
        <color rgb="FF000000"/>
        <rFont val="Arial"/>
      </rPr>
      <t xml:space="preserve"> “Policy reform” entails a change to legislation, strategy, or approach recorded in a public pronouncement; OR substantial improvements made to the operations of a government institution.</t>
    </r>
  </si>
  <si>
    <t>Output 1</t>
  </si>
  <si>
    <t>Output Indicator 1.1</t>
  </si>
  <si>
    <r>
      <rPr>
        <b/>
        <sz val="10"/>
        <rFont val="Arial"/>
        <family val="2"/>
      </rPr>
      <t xml:space="preserve">Aceli Africa. </t>
    </r>
    <r>
      <rPr>
        <sz val="10"/>
        <rFont val="Arial"/>
        <family val="2"/>
      </rPr>
      <t>Mobilising investment for job-creating domestic agri-business ($50k-$2m ticket size), through (1) financial risk-sharing and (2) technical assistance to businesses and local/regional financial institutions.</t>
    </r>
  </si>
  <si>
    <r>
      <rPr>
        <b/>
        <sz val="10"/>
        <rFont val="Arial"/>
        <family val="2"/>
      </rPr>
      <t>[Mobilisation Indicator]</t>
    </r>
    <r>
      <rPr>
        <sz val="10"/>
        <rFont val="Arial"/>
        <family val="2"/>
      </rPr>
      <t xml:space="preserve"> Develop and agree budget and workplan for Aceli Africa, agree Accountable Grant and mobilise in Tanzania.</t>
    </r>
  </si>
  <si>
    <r>
      <t xml:space="preserve">C: </t>
    </r>
    <r>
      <rPr>
        <sz val="10"/>
        <rFont val="Arial"/>
        <family val="2"/>
      </rPr>
      <t>Agree budget, logframe &amp; workplan</t>
    </r>
    <r>
      <rPr>
        <b/>
        <sz val="10"/>
        <rFont val="Arial"/>
        <family val="2"/>
      </rPr>
      <t xml:space="preserve">
B: </t>
    </r>
    <r>
      <rPr>
        <sz val="10"/>
        <rFont val="Arial"/>
        <family val="2"/>
      </rPr>
      <t>Complete enhanced due diligence; achieve MAG approval; achieve Prof11 approval</t>
    </r>
    <r>
      <rPr>
        <b/>
        <sz val="10"/>
        <rFont val="Arial"/>
        <family val="2"/>
      </rPr>
      <t xml:space="preserve">
A: </t>
    </r>
    <r>
      <rPr>
        <sz val="10"/>
        <rFont val="Arial"/>
        <family val="2"/>
      </rPr>
      <t>Sign accountable grant within 6 months of BC approval</t>
    </r>
    <r>
      <rPr>
        <b/>
        <sz val="10"/>
        <rFont val="Arial"/>
        <family val="2"/>
      </rPr>
      <t xml:space="preserve">
A+: </t>
    </r>
    <r>
      <rPr>
        <sz val="10"/>
        <rFont val="Arial"/>
        <family val="2"/>
      </rPr>
      <t>Sign accountable grant within 4 months of BC approval</t>
    </r>
    <r>
      <rPr>
        <b/>
        <sz val="10"/>
        <rFont val="Arial"/>
        <family val="2"/>
      </rPr>
      <t xml:space="preserve">
A++: </t>
    </r>
    <r>
      <rPr>
        <sz val="10"/>
        <rFont val="Arial"/>
        <family val="2"/>
      </rPr>
      <t>Sign accountable grant within 2 months of BC approval</t>
    </r>
  </si>
  <si>
    <t>-</t>
  </si>
  <si>
    <t>Support to investment promotion related activities and agencies will attracted increased FDI inflows.
Relative productivity levels are much higher in P4P target sectors versus subsistence agriculture.
GoT is willing and able to reform and remove barriers to investment.
Actors are willing and able to partner with P4P to promote manufacturing FDI</t>
  </si>
  <si>
    <t>A+</t>
  </si>
  <si>
    <t>Sub-Weight</t>
  </si>
  <si>
    <t>Aceli Africa Salesforce M&amp;E System</t>
  </si>
  <si>
    <t>Output Indicator 1.2</t>
  </si>
  <si>
    <t>Number of businesses receiving technical assistance (cumulative).</t>
  </si>
  <si>
    <t>Aceli</t>
  </si>
  <si>
    <t>of which meet the 2x Gender Challenge criteria</t>
  </si>
  <si>
    <t>Output Indicator 1.3</t>
  </si>
  <si>
    <t>Percentage of SMEs satsified with TA programme</t>
  </si>
  <si>
    <t>Output Indicator 1.4</t>
  </si>
  <si>
    <t>Number of financial institutions actively lending in partnership with Aceli (cumulative).</t>
  </si>
  <si>
    <t>Output Indicator 1.5</t>
  </si>
  <si>
    <t>Number of financial institutions receiving technical assistance (cumulative).</t>
  </si>
  <si>
    <t>Output Indicator 1.6</t>
  </si>
  <si>
    <t>Number of loans approved as a result of Aceli's financial incentives (cumulative).</t>
  </si>
  <si>
    <t>Weight</t>
  </si>
  <si>
    <t>£ Inputs</t>
  </si>
  <si>
    <t>HR Inputs</t>
  </si>
  <si>
    <r>
      <t xml:space="preserve">Lead: </t>
    </r>
    <r>
      <rPr>
        <sz val="10"/>
        <rFont val="Arial"/>
        <family val="2"/>
      </rPr>
      <t xml:space="preserve">Alex Mangowi (30%); </t>
    </r>
    <r>
      <rPr>
        <b/>
        <sz val="10"/>
        <rFont val="Arial"/>
        <family val="2"/>
      </rPr>
      <t xml:space="preserve">Adviser: </t>
    </r>
    <r>
      <rPr>
        <sz val="10"/>
        <rFont val="Arial"/>
        <family val="2"/>
      </rPr>
      <t xml:space="preserve">Priti Prajapati (10%); </t>
    </r>
    <r>
      <rPr>
        <b/>
        <sz val="10"/>
        <rFont val="Arial"/>
        <family val="2"/>
      </rPr>
      <t>Programme Manager: Evans Rwamuhuru</t>
    </r>
    <r>
      <rPr>
        <sz val="10"/>
        <rFont val="Arial"/>
        <family val="2"/>
      </rPr>
      <t xml:space="preserve"> (25%); </t>
    </r>
    <r>
      <rPr>
        <b/>
        <sz val="10"/>
        <rFont val="Arial"/>
        <family val="2"/>
      </rPr>
      <t xml:space="preserve">Oversight: </t>
    </r>
    <r>
      <rPr>
        <sz val="10"/>
        <rFont val="Arial"/>
        <family val="2"/>
      </rPr>
      <t>Euan Davidson (5%)</t>
    </r>
  </si>
  <si>
    <t>Output 2</t>
  </si>
  <si>
    <t>Output Indicator 2.1</t>
  </si>
  <si>
    <r>
      <rPr>
        <b/>
        <sz val="10"/>
        <rFont val="Arial"/>
        <family val="2"/>
      </rPr>
      <t xml:space="preserve">Manufacturing Africa. </t>
    </r>
    <r>
      <rPr>
        <sz val="10"/>
        <rFont val="Arial"/>
        <family val="2"/>
      </rPr>
      <t>Business environment reform and Foreign Direct Investment (FDI) facilitation ($2m-$15m ticket size) through: (1) technical assistance to Government (2) and FDI transaction facilitation.</t>
    </r>
  </si>
  <si>
    <r>
      <rPr>
        <b/>
        <sz val="10"/>
        <rFont val="Arial"/>
        <family val="2"/>
      </rPr>
      <t xml:space="preserve">[Mobilisation Indicator] </t>
    </r>
    <r>
      <rPr>
        <sz val="10"/>
        <rFont val="Arial"/>
        <family val="2"/>
      </rPr>
      <t>Develop and agree proposal, budget and workplan for Manufacturing Africa's expansion into Tanzania.</t>
    </r>
  </si>
  <si>
    <r>
      <t xml:space="preserve">C: </t>
    </r>
    <r>
      <rPr>
        <sz val="10"/>
        <rFont val="Arial"/>
        <family val="2"/>
      </rPr>
      <t>Discussions initiated with MA Team</t>
    </r>
    <r>
      <rPr>
        <b/>
        <sz val="10"/>
        <rFont val="Arial"/>
        <family val="2"/>
      </rPr>
      <t xml:space="preserve">
B: </t>
    </r>
    <r>
      <rPr>
        <sz val="10"/>
        <rFont val="Arial"/>
        <family val="2"/>
      </rPr>
      <t>Proposal, budget and workplan received</t>
    </r>
    <r>
      <rPr>
        <b/>
        <sz val="10"/>
        <rFont val="Arial"/>
        <family val="2"/>
      </rPr>
      <t xml:space="preserve">
A: </t>
    </r>
    <r>
      <rPr>
        <sz val="10"/>
        <rFont val="Arial"/>
        <family val="2"/>
      </rPr>
      <t>Proposal, budget and workplan agreed</t>
    </r>
    <r>
      <rPr>
        <b/>
        <sz val="10"/>
        <rFont val="Arial"/>
        <family val="2"/>
      </rPr>
      <t xml:space="preserve">
A+: </t>
    </r>
    <r>
      <rPr>
        <sz val="10"/>
        <rFont val="Arial"/>
        <family val="2"/>
      </rPr>
      <t>Team mobilised and inception phase commenced</t>
    </r>
    <r>
      <rPr>
        <b/>
        <sz val="10"/>
        <rFont val="Arial"/>
        <family val="2"/>
      </rPr>
      <t xml:space="preserve">
A++: </t>
    </r>
    <r>
      <rPr>
        <sz val="10"/>
        <rFont val="Arial"/>
        <family val="2"/>
      </rPr>
      <t>First draft inception report delivered</t>
    </r>
  </si>
  <si>
    <t>Logframe Indicators Agreed</t>
  </si>
  <si>
    <t>A</t>
  </si>
  <si>
    <t>Output Indicator 2.2</t>
  </si>
  <si>
    <r>
      <rPr>
        <sz val="10"/>
        <color rgb="FF000000"/>
        <rFont val="Arial"/>
      </rPr>
      <t xml:space="preserve">Number of investment deals provided with high quality substantive support
</t>
    </r>
    <r>
      <rPr>
        <b/>
        <i/>
        <sz val="10"/>
        <color rgb="FFC8102E"/>
        <rFont val="Arial"/>
      </rPr>
      <t xml:space="preserve">
</t>
    </r>
  </si>
  <si>
    <t>TBC</t>
  </si>
  <si>
    <t>Output Indicator 2.3</t>
  </si>
  <si>
    <t xml:space="preserve">Number of deals provided with high quality support which are potentially eligible for the second stage PBR payment if they reach deal close. </t>
  </si>
  <si>
    <t>Output Indicator 2.4</t>
  </si>
  <si>
    <t xml:space="preserve">Number of substantive technical assistance deliverables supporting government agencies / institutions approved and implemented to a high-quality standard. </t>
  </si>
  <si>
    <t>Output Indicator 2.5</t>
  </si>
  <si>
    <t>Number of support programmes guided by market systems principles, designed and implemented by the contractor in targeted sectors which address key barriers to manufacturing activity, and which are delivered to a high standard.</t>
  </si>
  <si>
    <t>Output Indicator 2.6</t>
  </si>
  <si>
    <t xml:space="preserve">Number of third parties substantially engaged with, in a way judged to be effective to undertake new activity targeted at addressing key barriers to manufacturing activity. </t>
  </si>
  <si>
    <t>Output Indicator 2.7</t>
  </si>
  <si>
    <t>Number of support packages provided either to foreign investors to encourage them to increase demand from domestic enterprises, or to domestic enterprises themselves to enable them to meet such demand.</t>
  </si>
  <si>
    <t>Output Indicator 2.8</t>
  </si>
  <si>
    <t>Number of new buyers (global or domestic) introduced to FDI investors or manufacturers who could credibly meet the buyers' demands within a reasonable time frame (max 2 years).</t>
  </si>
  <si>
    <t>No target this FY</t>
  </si>
  <si>
    <r>
      <t xml:space="preserve">Lead: </t>
    </r>
    <r>
      <rPr>
        <sz val="10"/>
        <rFont val="Arial"/>
        <family val="2"/>
      </rPr>
      <t xml:space="preserve">Priti Prajapati (50%); </t>
    </r>
    <r>
      <rPr>
        <b/>
        <sz val="10"/>
        <rFont val="Arial"/>
        <family val="2"/>
      </rPr>
      <t xml:space="preserve">Adviser: </t>
    </r>
    <r>
      <rPr>
        <sz val="10"/>
        <rFont val="Arial"/>
        <family val="2"/>
      </rPr>
      <t xml:space="preserve">Alex Mangowi (20%); </t>
    </r>
    <r>
      <rPr>
        <b/>
        <sz val="10"/>
        <rFont val="Arial"/>
        <family val="2"/>
      </rPr>
      <t xml:space="preserve">Programme Manager: </t>
    </r>
    <r>
      <rPr>
        <sz val="10"/>
        <rFont val="Arial"/>
        <family val="2"/>
      </rPr>
      <t xml:space="preserve">Evans Rwamuhuru (25%); </t>
    </r>
    <r>
      <rPr>
        <b/>
        <sz val="10"/>
        <rFont val="Arial"/>
        <family val="2"/>
      </rPr>
      <t xml:space="preserve">Oversight: </t>
    </r>
    <r>
      <rPr>
        <sz val="10"/>
        <rFont val="Arial"/>
        <family val="2"/>
      </rPr>
      <t>Euan Davidson (5%)</t>
    </r>
  </si>
  <si>
    <t>Output 3</t>
  </si>
  <si>
    <t>Output Indicator 3.1</t>
  </si>
  <si>
    <r>
      <t xml:space="preserve">Green Growth Fund. </t>
    </r>
    <r>
      <rPr>
        <sz val="10"/>
        <rFont val="Arial"/>
        <family val="2"/>
      </rPr>
      <t>Improved climate policies, and stronger UK-Tanzania economic cooperation through demand-driven technical assistance.</t>
    </r>
  </si>
  <si>
    <r>
      <rPr>
        <b/>
        <sz val="10"/>
        <rFont val="Arial"/>
        <family val="2"/>
      </rPr>
      <t>[Mobilisation Indicator]</t>
    </r>
    <r>
      <rPr>
        <sz val="10"/>
        <rFont val="Arial"/>
        <family val="2"/>
      </rPr>
      <t xml:space="preserve"> Undertake procurement process to launch Green Growth Fund.</t>
    </r>
  </si>
  <si>
    <r>
      <t xml:space="preserve">C: </t>
    </r>
    <r>
      <rPr>
        <sz val="10"/>
        <rFont val="Arial"/>
        <family val="2"/>
      </rPr>
      <t>Agree route to market based on business planning commission.</t>
    </r>
    <r>
      <rPr>
        <b/>
        <sz val="10"/>
        <rFont val="Arial"/>
        <family val="2"/>
      </rPr>
      <t xml:space="preserve">
B: </t>
    </r>
    <r>
      <rPr>
        <sz val="10"/>
        <rFont val="Arial"/>
        <family val="2"/>
      </rPr>
      <t>Complete first draft of Terms of Reference</t>
    </r>
    <r>
      <rPr>
        <b/>
        <sz val="10"/>
        <rFont val="Arial"/>
        <family val="2"/>
      </rPr>
      <t xml:space="preserve">
A: </t>
    </r>
    <r>
      <rPr>
        <sz val="10"/>
        <rFont val="Arial"/>
        <family val="2"/>
      </rPr>
      <t>Market-ready ToR, responds to comments</t>
    </r>
    <r>
      <rPr>
        <b/>
        <sz val="10"/>
        <rFont val="Arial"/>
        <family val="2"/>
      </rPr>
      <t xml:space="preserve">
A+: </t>
    </r>
    <r>
      <rPr>
        <sz val="10"/>
        <rFont val="Arial"/>
        <family val="2"/>
      </rPr>
      <t>Procurement launched</t>
    </r>
    <r>
      <rPr>
        <b/>
        <sz val="10"/>
        <rFont val="Arial"/>
        <family val="2"/>
      </rPr>
      <t xml:space="preserve">
A++: </t>
    </r>
    <r>
      <rPr>
        <sz val="10"/>
        <rFont val="Arial"/>
        <family val="2"/>
      </rPr>
      <t>Supplier bids assessed</t>
    </r>
  </si>
  <si>
    <t>Green Growth Fund MEL System</t>
  </si>
  <si>
    <t>Output Indicator 3.2</t>
  </si>
  <si>
    <t>Number of Government policy reform, systems building, and capacity building initiatives that GGF undertakes with Government or other influential ecosystem actors, through an approved SOW.</t>
  </si>
  <si>
    <t xml:space="preserve">Planned – total SoWs </t>
  </si>
  <si>
    <t>Target set annually.</t>
  </si>
  <si>
    <t>Of which have climate impact</t>
  </si>
  <si>
    <t>Of which have gender impact</t>
  </si>
  <si>
    <t xml:space="preserve">Achieved – total SoWs </t>
  </si>
  <si>
    <t>Output Indicator 3.3</t>
  </si>
  <si>
    <t>Number of business innovations to support growth, investment readiness, and/or exports, that GGF supports through private or public actors, through an approved SOW</t>
  </si>
  <si>
    <t>Output Indicator 3.4</t>
  </si>
  <si>
    <t>Number of supporting functions and services that GGF helps to develop to overcome constraints to market development, through an approved SOW</t>
  </si>
  <si>
    <t>N/A</t>
  </si>
  <si>
    <t>Output Indicator 3.5</t>
  </si>
  <si>
    <t>Percentage of completed SOWs approved by FCDO without substantial revision.</t>
  </si>
  <si>
    <t>For source data, see GGF's indicator reference sheets.</t>
  </si>
  <si>
    <t>Output Indicator 3.6</t>
  </si>
  <si>
    <t>Percentage of SoWs agreed approved in the preceding reporting year, submitted and approved by FCDO by the end of the review year.</t>
  </si>
  <si>
    <t>For source data and other measurement details, see GGF's indicator reference sheets.</t>
  </si>
  <si>
    <t>Output Indicator 3.7</t>
  </si>
  <si>
    <t>GGF implements a system to track learning and how it informs programme management decision making.</t>
  </si>
  <si>
    <r>
      <t xml:space="preserve">Lead: </t>
    </r>
    <r>
      <rPr>
        <sz val="10"/>
        <rFont val="Arial"/>
        <family val="2"/>
      </rPr>
      <t xml:space="preserve">Priti Prajapati (50%); </t>
    </r>
    <r>
      <rPr>
        <b/>
        <sz val="10"/>
        <rFont val="Arial"/>
        <family val="2"/>
      </rPr>
      <t xml:space="preserve">Adviser: </t>
    </r>
    <r>
      <rPr>
        <sz val="10"/>
        <rFont val="Arial"/>
        <family val="2"/>
      </rPr>
      <t xml:space="preserve">Alex Mangowi (10%); </t>
    </r>
    <r>
      <rPr>
        <b/>
        <sz val="10"/>
        <rFont val="Arial"/>
        <family val="2"/>
      </rPr>
      <t xml:space="preserve">Adviser: </t>
    </r>
    <r>
      <rPr>
        <sz val="10"/>
        <rFont val="Arial"/>
        <family val="2"/>
      </rPr>
      <t xml:space="preserve">Abdalla Shah (10%); </t>
    </r>
    <r>
      <rPr>
        <b/>
        <sz val="10"/>
        <rFont val="Arial"/>
        <family val="2"/>
      </rPr>
      <t>Programme Manager: E</t>
    </r>
    <r>
      <rPr>
        <sz val="10"/>
        <rFont val="Arial"/>
        <family val="2"/>
      </rPr>
      <t xml:space="preserve">vans Rwamuhuru(25%); </t>
    </r>
    <r>
      <rPr>
        <b/>
        <sz val="10"/>
        <rFont val="Arial"/>
        <family val="2"/>
      </rPr>
      <t xml:space="preserve">Oversight: </t>
    </r>
    <r>
      <rPr>
        <sz val="10"/>
        <rFont val="Arial"/>
        <family val="2"/>
      </rPr>
      <t>Euan Davidson (5%)</t>
    </r>
  </si>
  <si>
    <t>Output 4</t>
  </si>
  <si>
    <t>Output Indicator 4.1</t>
  </si>
  <si>
    <r>
      <t xml:space="preserve">Overseas Development Institute (ODI): </t>
    </r>
    <r>
      <rPr>
        <sz val="10"/>
        <rFont val="Arial"/>
        <family val="2"/>
      </rPr>
      <t xml:space="preserve">Support to the Government of Tanzania on economic planning. </t>
    </r>
    <r>
      <rPr>
        <b/>
        <sz val="10"/>
        <rFont val="Arial"/>
        <family val="2"/>
      </rPr>
      <t xml:space="preserve"> </t>
    </r>
  </si>
  <si>
    <t xml:space="preserve">Technical assistance support provided to the Planning Commission on prioritization and economic transformation. </t>
  </si>
  <si>
    <t>Technical assistance support provided to the Planning Commission on prioritisation and economic transformation</t>
  </si>
  <si>
    <t xml:space="preserve">Prioritisation and economic transformation integrated into national planning through strategic engagement and sectoral analysis. </t>
  </si>
  <si>
    <t>Output Indicator 4.2</t>
  </si>
  <si>
    <t>Technical assistance support to the design of Tanzania Development Vision 2050 </t>
  </si>
  <si>
    <t xml:space="preserve">Technical assistance support to the design of Tanzania Development Vision 2050 </t>
  </si>
  <si>
    <t xml:space="preserve">Support finalisation of vision 2050 draft and groundwork laid for the long- and short-term planning frameworks </t>
  </si>
  <si>
    <t>ODI MEL System</t>
  </si>
  <si>
    <t>Total £ Inputs</t>
  </si>
  <si>
    <t>Total HR Inputs</t>
  </si>
  <si>
    <r>
      <t xml:space="preserve">SRO: </t>
    </r>
    <r>
      <rPr>
        <sz val="10"/>
        <color theme="0"/>
        <rFont val="Arial"/>
        <family val="2"/>
      </rPr>
      <t xml:space="preserve">Priti Prajapati (60%); </t>
    </r>
    <r>
      <rPr>
        <b/>
        <sz val="10"/>
        <color theme="0"/>
        <rFont val="Arial"/>
        <family val="2"/>
      </rPr>
      <t xml:space="preserve">Adviser: </t>
    </r>
    <r>
      <rPr>
        <sz val="10"/>
        <color theme="0"/>
        <rFont val="Arial"/>
        <family val="2"/>
      </rPr>
      <t xml:space="preserve">Alex Mangowi (60%); </t>
    </r>
    <r>
      <rPr>
        <b/>
        <sz val="10"/>
        <color theme="0"/>
        <rFont val="Arial"/>
        <family val="2"/>
      </rPr>
      <t>Adviser:</t>
    </r>
    <r>
      <rPr>
        <sz val="10"/>
        <color theme="0"/>
        <rFont val="Arial"/>
        <family val="2"/>
      </rPr>
      <t xml:space="preserve"> Abdalla Shah (30%); </t>
    </r>
    <r>
      <rPr>
        <b/>
        <sz val="10"/>
        <color theme="0"/>
        <rFont val="Arial"/>
        <family val="2"/>
      </rPr>
      <t>Adviser:</t>
    </r>
    <r>
      <rPr>
        <sz val="10"/>
        <color theme="0"/>
        <rFont val="Arial"/>
        <family val="2"/>
      </rPr>
      <t xml:space="preserve"> Head of Climate Change (30%); </t>
    </r>
    <r>
      <rPr>
        <b/>
        <sz val="10"/>
        <color theme="0"/>
        <rFont val="Arial"/>
        <family val="2"/>
      </rPr>
      <t xml:space="preserve">Programme Manager/PRO: </t>
    </r>
    <r>
      <rPr>
        <sz val="10"/>
        <color theme="0"/>
        <rFont val="Arial"/>
        <family val="2"/>
      </rPr>
      <t>Evans Rwamuhuru (75%)</t>
    </r>
  </si>
  <si>
    <t>Baseline (Nov-2021)</t>
  </si>
  <si>
    <t>Annual review notes</t>
  </si>
  <si>
    <t>Q3- Sept.2022- Comments</t>
  </si>
  <si>
    <t>June 2023-Comments</t>
  </si>
  <si>
    <t>March 2024 Comments</t>
  </si>
  <si>
    <t>March 2025 Comments</t>
  </si>
  <si>
    <t>Total Cumulative Unique</t>
  </si>
  <si>
    <t>Attribution Assumption: 25% to Aceli
Anticipate 10% growth in jobs and salaries
New jobs = number of fulltime employees
Improved incomes = number of SHF suppliers
Assumptions:
10 FTE / SME
775 SHFs / SME
Impact Indicator 2 is measuring SHFs linked to SMEs meeting C&amp;E impact bonus. Our policy is that a majority of farmers are practicing climate smart agriculture (assuming 50%) as that is conditional on the SME qualifying for the impact bonus.
NOTE: This means actuals are divided by 2</t>
  </si>
  <si>
    <t>Number of new jobs and number of jobs with improved incomes as result of Aceli's activities (cumulative).</t>
  </si>
  <si>
    <t>Planned: New Jobs</t>
  </si>
  <si>
    <t>Planned: Jobs with Improved Incomes</t>
  </si>
  <si>
    <t>Achieved: New Jobs</t>
  </si>
  <si>
    <t>Ahead of target: Aceli-supported SMEs have more employees than projected. However, this number varies greatly across each SME, therefore we do not propose to adjust the projections</t>
  </si>
  <si>
    <t xml:space="preserve">On track. 62% to annual target. </t>
  </si>
  <si>
    <t>Above target (105%)</t>
  </si>
  <si>
    <t>Achieved 104%</t>
  </si>
  <si>
    <t>On target</t>
  </si>
  <si>
    <t>on track. 67% to annual target.</t>
  </si>
  <si>
    <t>Achieved (100%)</t>
  </si>
  <si>
    <t>Achieved 100%</t>
  </si>
  <si>
    <t>Achieved: Jobs with Improved Incomes</t>
  </si>
  <si>
    <t>Under target: Aceli-supported SMEs have less SHF suppliers than projected, and expect to improve as more SMEs are supported. However, this number varies greatly across each SME, therefore we do not propose to adjust the projections.</t>
  </si>
  <si>
    <t>Under target.  28% to annual target.</t>
  </si>
  <si>
    <t xml:space="preserve">Achieved 70% of target. </t>
  </si>
  <si>
    <t>Achieved 65%. We have noted a significant drop in the average number of smalholder farmers (SHF) served by an SME. Target had assumed 457 SHF per SME, on average, but we are seeing that on aveage an SME serves 400 SHF. This trend is supported by the trend towards much smaller loans as the portfolio tilts more to new borrowers who tend to be smaller SMEs</t>
  </si>
  <si>
    <t>On track. 45% to annual target.</t>
  </si>
  <si>
    <r>
      <t xml:space="preserve">Achieved 76% of target. A relatively small number of women SHF (33%) and women fulltime  employees (28%) during the period has kept this number below target. Overall women participation in Aceli portfolio is larger than observed here for P4P loans. </t>
    </r>
    <r>
      <rPr>
        <sz val="8"/>
        <color rgb="FFFF0000"/>
        <rFont val="Arial"/>
        <family val="2"/>
      </rPr>
      <t xml:space="preserve"> </t>
    </r>
  </si>
  <si>
    <t>Achieved 67%. For a reason similar to that stated above - the portfolio is tilting more towards new borrowers who tend to be smaller SMEs with relatively smaller scale operations, hence serving fewer SMEs than it had been assumed when setting the target</t>
  </si>
  <si>
    <t>Source: Lenders' data</t>
  </si>
  <si>
    <t>ICF KPI 4: Number of people whose climate resilience has been improved as a result of Aceli's (cumulative).</t>
  </si>
  <si>
    <t>Ontrack. 52% to annual target.</t>
  </si>
  <si>
    <t>Achieved 92% of target. Efforts to promote C&amp;E awareness among lenders are ongoing and over time encouraging improvements have been noticed.</t>
  </si>
  <si>
    <t xml:space="preserve">Achieved 95% </t>
  </si>
  <si>
    <t>Achieved 174% On average, SMEs meeting Climate and Environment (C&amp;E) criteria serve more SHF than other SMEs. This is because  value chains such as cashew, coffee (with coop membership,many smallholder farmers)   tend to meet C&amp;E criteria</t>
  </si>
  <si>
    <t>On track.  49% to annual target.</t>
  </si>
  <si>
    <t xml:space="preserve">Above target (104%). </t>
  </si>
  <si>
    <t>Achieved 109%</t>
  </si>
  <si>
    <t xml:space="preserve">Achieved 156%. For a reason similar to that stated above. This number represents number of Ssmallholder farmesr affiliated to SMEs receiving loans that meet the C&amp;E criteria AND meet the 2x gender challenge criteria. It is estimated that 30% of these smallholder farmers are women. </t>
  </si>
  <si>
    <t>Source: Lenders' data, Africert verfication visits with SMEs and sampled farmers</t>
  </si>
  <si>
    <t>Investment mobilised as a result of Aceli's activities (cumulative, includes: domestic investment, domestic direct investment, foreign direct investment, foreign portfolio investment).</t>
  </si>
  <si>
    <r>
      <rPr>
        <b/>
        <sz val="8"/>
        <rFont val="Arial"/>
        <family val="2"/>
      </rPr>
      <t xml:space="preserve">
                                                                                                                                                  Export value chains: coffee, cocoa, cotton, cashews, tea,vanilla,cloves, rice, avocado
Political feasibility: </t>
    </r>
    <r>
      <rPr>
        <sz val="8"/>
        <rFont val="Arial"/>
        <family val="2"/>
      </rPr>
      <t xml:space="preserve">the assessment of political feasibility in the options appraisal is correct and remains steady.
</t>
    </r>
    <r>
      <rPr>
        <b/>
        <sz val="8"/>
        <rFont val="Arial"/>
        <family val="2"/>
      </rPr>
      <t>Domestic economic stability:</t>
    </r>
    <r>
      <rPr>
        <sz val="8"/>
        <rFont val="Arial"/>
        <family val="2"/>
      </rPr>
      <t xml:space="preserve"> Tanzania’s current broadly positive economic trajectory continues and there is not a major economic crisis.
</t>
    </r>
    <r>
      <rPr>
        <b/>
        <sz val="8"/>
        <rFont val="Arial"/>
        <family val="2"/>
      </rPr>
      <t xml:space="preserve">Global economic recovery: </t>
    </r>
    <r>
      <rPr>
        <sz val="8"/>
        <rFont val="Arial"/>
        <family val="2"/>
      </rPr>
      <t xml:space="preserve">the global economic recovery will continue its current trend, and the market for Tanzanian exports (notably agriculture and tourism) will grow.
</t>
    </r>
    <r>
      <rPr>
        <b/>
        <sz val="8"/>
        <rFont val="Arial"/>
        <family val="2"/>
      </rPr>
      <t xml:space="preserve">Private sector capacity: </t>
    </r>
    <r>
      <rPr>
        <sz val="8"/>
        <rFont val="Arial"/>
        <family val="2"/>
      </rPr>
      <t xml:space="preserve">there are sufficient SMEs in Tanzania that are capable of responding to technical assistance and absorbing investment.
</t>
    </r>
    <r>
      <rPr>
        <b/>
        <sz val="8"/>
        <rFont val="Arial"/>
        <family val="2"/>
      </rPr>
      <t xml:space="preserve">Effective delivery: </t>
    </r>
    <r>
      <rPr>
        <sz val="8"/>
        <rFont val="Arial"/>
        <family val="2"/>
      </rPr>
      <t xml:space="preserve">the contracted supplier is able to establish an office in Tanzania and recruit staff with the require expertise to implement the programme.
</t>
    </r>
    <r>
      <rPr>
        <b/>
        <sz val="8"/>
        <rFont val="Arial"/>
        <family val="2"/>
      </rPr>
      <t>Climate impacts:</t>
    </r>
    <r>
      <rPr>
        <sz val="8"/>
        <rFont val="Arial"/>
        <family val="2"/>
      </rPr>
      <t xml:space="preserve"> the climate change impacts on agriculture production will not be so severe as to render large proportions of the sector unviable within 10 years.</t>
    </r>
  </si>
  <si>
    <t xml:space="preserve">Ahead of target: avg loan size was slightly higher than projected. This is primarly due to two loans $1.9M totall accounting for 43% of investment amount.  </t>
  </si>
  <si>
    <t>Ontrack.  57% to annual target.</t>
  </si>
  <si>
    <t>Above target (102%)</t>
  </si>
  <si>
    <t>Achieved 85%</t>
  </si>
  <si>
    <t>Achieved 99%</t>
  </si>
  <si>
    <t xml:space="preserve">Ahead of target: we initially projected that 30% of Aceli's portfolio would be gender inclusive (aligned with the 2X collaborative international standard). We have been pleased to see 88% of Aceli's P4P portfolio meets this criteria. Also, we have had few loans with outlier (significantly above average) loan amounts. Given such  outlier observations, and limited data of only 26 loans so far, we are not inclined to change our target. </t>
  </si>
  <si>
    <t xml:space="preserve">Ahead of target. We are seeing a larger number of gender inclusive loans than initially anticipated. However, these observations are from a limited data set of 37 loans so far. </t>
  </si>
  <si>
    <t xml:space="preserve">Above target (104%). Leadership (management,ownership, and board participation) contributes 43%. Employment, products for women, and women suppliers contrinute 57% </t>
  </si>
  <si>
    <t>Achieved 117%</t>
  </si>
  <si>
    <t>Achieved 123%</t>
  </si>
  <si>
    <t>ICF KPI 12: Volume of private finance mobilised for climate change purpose as a result of Aceli's (cumulative).</t>
  </si>
  <si>
    <t xml:space="preserve">Ahead of target: while we are significantly above target, one loan (out of 6) accounts for 50% of this total number. Therefore, our target was not underestimated, we just received a larger than expected loan. </t>
  </si>
  <si>
    <t xml:space="preserve">Above annual target. Note however, that 1  loan out of 9 is accounting for 50% of total volume of finance achieved. </t>
  </si>
  <si>
    <t xml:space="preserve">Above target(229%). Note however, that 3  loans out of 23 are accounting for 55% of total volume of finance achieved. </t>
  </si>
  <si>
    <t>Achieved 130%</t>
  </si>
  <si>
    <t>Achieved 125%</t>
  </si>
  <si>
    <t>Ahead of target: we initially projected that 30% of Aceli's portfolio would be gender inclusive (aligned with the 2X collaborative international standard). We have been pleased to see 88% of our P4P portfolio meets this criteria. This is explains the difference between planned and acheived. We are not inclined to change our targets yet as overtime the number of gender inclusive loans may decrease as a proportion to our total portfolio.</t>
  </si>
  <si>
    <t>Ahead of target. We are seeing a larger number of gender inclusive loans than initially anticipated. However, these observations are from a limited data set of 37 loans so far. Also one loan with outlier loan amount accounts for 50% of the amount</t>
  </si>
  <si>
    <t xml:space="preserve">Above target (435%). Note however, that 3  loans out of 14 are accounting for 73% of total volume of finance achieved.                                         </t>
  </si>
  <si>
    <t>Achieved 132%</t>
  </si>
  <si>
    <t>Achieved 157%. We had expected that 50% of the SME portfolio will meet 2X criteria, actually 59%of SMEs in the portfolio met 2X citeria.</t>
  </si>
  <si>
    <t>Increase in sales and international trade as a direct result of Aceli's activities (latest annual sales figure, as measured by value of new purchase orders).</t>
  </si>
  <si>
    <t>Planned: Total Sales</t>
  </si>
  <si>
    <t>Planned: International Trade</t>
  </si>
  <si>
    <t>Achieved: Total Sales</t>
  </si>
  <si>
    <t xml:space="preserve">Under target: our actual is slightly below target we view because the businesses are a bit smaller than expected. Since we are only below target by 15%, we don't propose to adjust our projection. </t>
  </si>
  <si>
    <t>On track. 51% to annual target.</t>
  </si>
  <si>
    <t>Achieved 85% of target. This is contributed by some SMEs being smaller in size, as evidenced by relatively smaller approved loan amounts, on average, than anticipated</t>
  </si>
  <si>
    <t>Achieved 107%</t>
  </si>
  <si>
    <t>Achieved 127%</t>
  </si>
  <si>
    <t>Above target (152%). Contributed by some loans to SMEs with relatively high enteprise revenue and meeting gender inclusion criteria</t>
  </si>
  <si>
    <t>Achieved 126%</t>
  </si>
  <si>
    <t>Achieved: International Trade</t>
  </si>
  <si>
    <t xml:space="preserve">Ahead of target: we do not feel this target was underestimated and propose not to make any changes. </t>
  </si>
  <si>
    <t>On track. 74% to annual target.</t>
  </si>
  <si>
    <t xml:space="preserve">Above target (138%). A good number of SMEs in traditional export value chains such as coffee, cashew have been supported. Also SMEs in  emerging export crops i.e., avocado and rice have been supported. </t>
  </si>
  <si>
    <t>Achieved 90%</t>
  </si>
  <si>
    <t>Achieved 105%</t>
  </si>
  <si>
    <t xml:space="preserve">On track. We are seeing a larger number of gender inclusive loans than initially anticipated. However, these observations are from a limited data set of 37 loans so far. </t>
  </si>
  <si>
    <t>Ahead of target (161%).  Contributed by some loans to SMEs in export value chains with relatively high enteprise revenue and meeting gender inclusion criteria</t>
  </si>
  <si>
    <t>Achieved 80%</t>
  </si>
  <si>
    <t>Number of business environment reforms supported with government agencies. (cumulative).</t>
  </si>
  <si>
    <t>In progress and on target. In addition to policy mapping report, we recently published a working paper on impact of central bank policies to Agri lending in East Africa. We are working with partners to influence implementation of policy reforms</t>
  </si>
  <si>
    <t xml:space="preserve">In progress. Policy mapping report published. Also published a working paper on impact of central bank policies to Agri lending in East Africa. Formation of a working group  with other partners/stakeholders to further our work on policy in progress </t>
  </si>
  <si>
    <t xml:space="preserve">In progress. Formation of working group with other partners to develop road map for policy advocacy in progress.  </t>
  </si>
  <si>
    <t>In progress. Stakeholder work group session held in March. Drafting of policy briefs ongoing</t>
  </si>
  <si>
    <t>Source: Aceli reporting</t>
  </si>
  <si>
    <t>“Policy reform” entails a change to legislation, strategy, or approach recorded in a public pronouncement; OR substantial improvements made to the operations of a government institution.</t>
  </si>
  <si>
    <r>
      <rPr>
        <b/>
        <sz val="8"/>
        <rFont val="Arial"/>
        <family val="2"/>
      </rPr>
      <t xml:space="preserve">Aceli Africa. </t>
    </r>
    <r>
      <rPr>
        <sz val="8"/>
        <rFont val="Arial"/>
        <family val="2"/>
      </rPr>
      <t>Mobilising investment for job-creating domestic agri-business ($50k-$2m ticket size), through (1) financial risk-sharing and (2) technical assistance to businesses and local/regional financial institutions.</t>
    </r>
  </si>
  <si>
    <r>
      <rPr>
        <b/>
        <sz val="8"/>
        <rFont val="Arial"/>
        <family val="2"/>
      </rPr>
      <t>[Process indicator]</t>
    </r>
    <r>
      <rPr>
        <sz val="8"/>
        <rFont val="Arial"/>
        <family val="2"/>
      </rPr>
      <t xml:space="preserve"> Develop and agree budget and workplan for Aceli Africa, agree Accountable Grant and mobilise in Tanzania.</t>
    </r>
  </si>
  <si>
    <r>
      <t xml:space="preserve">C: </t>
    </r>
    <r>
      <rPr>
        <sz val="8"/>
        <rFont val="Arial"/>
        <family val="2"/>
      </rPr>
      <t>Agree budget, logframe &amp; workplan</t>
    </r>
    <r>
      <rPr>
        <b/>
        <sz val="8"/>
        <rFont val="Arial"/>
        <family val="2"/>
      </rPr>
      <t xml:space="preserve">
B: </t>
    </r>
    <r>
      <rPr>
        <sz val="8"/>
        <rFont val="Arial"/>
        <family val="2"/>
      </rPr>
      <t>Complete enhancede due dliigence; acheive MAG approval; achieve Prof11 approval</t>
    </r>
    <r>
      <rPr>
        <b/>
        <sz val="8"/>
        <rFont val="Arial"/>
        <family val="2"/>
      </rPr>
      <t xml:space="preserve">
A: </t>
    </r>
    <r>
      <rPr>
        <sz val="8"/>
        <rFont val="Arial"/>
        <family val="2"/>
      </rPr>
      <t>Sign accountable grant within 8 months of BC approval</t>
    </r>
    <r>
      <rPr>
        <b/>
        <sz val="8"/>
        <rFont val="Arial"/>
        <family val="2"/>
      </rPr>
      <t xml:space="preserve">
A+: </t>
    </r>
    <r>
      <rPr>
        <sz val="8"/>
        <rFont val="Arial"/>
        <family val="2"/>
      </rPr>
      <t>Sign accountable grant within 4 months of BC approval</t>
    </r>
    <r>
      <rPr>
        <b/>
        <sz val="8"/>
        <rFont val="Arial"/>
        <family val="2"/>
      </rPr>
      <t xml:space="preserve">
A++: </t>
    </r>
    <r>
      <rPr>
        <sz val="8"/>
        <rFont val="Arial"/>
        <family val="2"/>
      </rPr>
      <t>Sign accountable grant within 2 months of BC approval</t>
    </r>
  </si>
  <si>
    <t xml:space="preserve">
For the number of loans, we are counting the total number. It is not possible to attribute loans to Aceli (although we can attribute unique SMEs that recive loans). </t>
  </si>
  <si>
    <t>Number of businesses receiving technical assistance (cumulative)</t>
  </si>
  <si>
    <t>On track. 93% to annual target</t>
  </si>
  <si>
    <t>Above target. Increase in SME uptake of TA following introduction of Kiswahili language for early stage SMEs, as well as increased uptake of TA for growth/established SMEs because of more business development service providers in 2023 (from two to four providers)</t>
  </si>
  <si>
    <t xml:space="preserve">Achieved 135%. </t>
  </si>
  <si>
    <t>Achieved 124%</t>
  </si>
  <si>
    <t>Under target: we anticipate that SMEs meeting the gender inclusion criteria will increase in additional cohorts. Therefore, we do not propose to adjust our targets</t>
  </si>
  <si>
    <t>On track. 25% to annual target</t>
  </si>
  <si>
    <t xml:space="preserve">Above target (200%) </t>
  </si>
  <si>
    <t>Achieved 150%</t>
  </si>
  <si>
    <t>Achieved 146%</t>
  </si>
  <si>
    <t>Source: SMEs in TA Program, Aceli reporting</t>
  </si>
  <si>
    <t>March 2024-Comments</t>
  </si>
  <si>
    <t>Number of financial institutions actively lending in partnership with Aceli (cumulative)</t>
  </si>
  <si>
    <t>On target: we expect to accredit and onboard 3 to 5 additional lenders by end of the year. Please note that over time some lenders may drop out of the Aceli program if they don't meet the lender mandatory requirements for loan registration</t>
  </si>
  <si>
    <t>On target. We expect to accredit and onboard  2 to 3 lenders by Q2 next year</t>
  </si>
  <si>
    <t xml:space="preserve">Achieved (100%). We are in process  to onboard two more lenders </t>
  </si>
  <si>
    <t>Achieved 92%</t>
  </si>
  <si>
    <t>Source:   Aceli  Reporting</t>
  </si>
  <si>
    <t>Number of financial instituions receiving technical assistance (cumulative)</t>
  </si>
  <si>
    <t>Two financial institutions have been identified as potential beneficiaries. We are also recruting more service providers (consultant(s)) in addition to the one we have in order  to increase capacity to deliver TA to financial institutions</t>
  </si>
  <si>
    <t>Ongoing Technical Asistance (capacity building) to Tanzania Commercial Bank (TCB)</t>
  </si>
  <si>
    <t xml:space="preserve">Source: Aceli Reporting </t>
  </si>
  <si>
    <t xml:space="preserve"> </t>
  </si>
  <si>
    <t>Number of loans approved as a result of Aceli's financial incentives (cumulative)</t>
  </si>
  <si>
    <t>On track. 62% to annual target</t>
  </si>
  <si>
    <t>Ahead of target (125%)</t>
  </si>
  <si>
    <t>Achieved 110%</t>
  </si>
  <si>
    <t>Ahead of target (272%). We have seen a large number of loans registered meeting  gender inclusion criteria during the period due to active engagement and building awareness among lenders</t>
  </si>
  <si>
    <t>Achieved 141%</t>
  </si>
  <si>
    <t>Achieved 131%</t>
  </si>
  <si>
    <t xml:space="preserve">Source: Lenders' data, Aceli Reporting </t>
  </si>
  <si>
    <r>
      <t xml:space="preserve">Lead: </t>
    </r>
    <r>
      <rPr>
        <sz val="8"/>
        <rFont val="Arial"/>
        <family val="2"/>
      </rPr>
      <t xml:space="preserve">Alex Mangowi (30%); </t>
    </r>
    <r>
      <rPr>
        <b/>
        <sz val="8"/>
        <rFont val="Arial"/>
        <family val="2"/>
      </rPr>
      <t xml:space="preserve">Adviser: </t>
    </r>
    <r>
      <rPr>
        <sz val="8"/>
        <rFont val="Arial"/>
        <family val="2"/>
      </rPr>
      <t xml:space="preserve">Priti Prajapati (10%); </t>
    </r>
    <r>
      <rPr>
        <b/>
        <sz val="8"/>
        <rFont val="Arial"/>
        <family val="2"/>
      </rPr>
      <t xml:space="preserve">Programme Manager: </t>
    </r>
    <r>
      <rPr>
        <sz val="8"/>
        <rFont val="Arial"/>
        <family val="2"/>
      </rPr>
      <t xml:space="preserve">Evans Rwamuhuru (25%); </t>
    </r>
    <r>
      <rPr>
        <b/>
        <sz val="8"/>
        <rFont val="Arial"/>
        <family val="2"/>
      </rPr>
      <t xml:space="preserve">Oversight: </t>
    </r>
    <r>
      <rPr>
        <sz val="8"/>
        <rFont val="Arial"/>
        <family val="2"/>
      </rPr>
      <t>Euan Davidson (5%)</t>
    </r>
  </si>
  <si>
    <t>Programme name:</t>
  </si>
  <si>
    <t>Year</t>
  </si>
  <si>
    <t>MA prog. - year ending</t>
  </si>
  <si>
    <t>Baseline</t>
  </si>
  <si>
    <t>2023/24</t>
  </si>
  <si>
    <t>2024/25</t>
  </si>
  <si>
    <t>2025/26</t>
  </si>
  <si>
    <t>2026/27</t>
  </si>
  <si>
    <t>2027/28</t>
  </si>
  <si>
    <t>2028/29</t>
  </si>
  <si>
    <t>2029/30</t>
  </si>
  <si>
    <t>Target (Final)</t>
  </si>
  <si>
    <t>Impact Indicator 1A</t>
  </si>
  <si>
    <t>Significantly increase FDI flows to the manufacturing sector stimulating inclusive economic transformation that generates new jobs and increases in the value of production in economy</t>
  </si>
  <si>
    <r>
      <t xml:space="preserve">Number of direct employees investors supported by MA have committed to engage at financial close as a direct result of the investment supported by Manufacturing Africa. (cumulative, unique people)
</t>
    </r>
    <r>
      <rPr>
        <b/>
        <sz val="8"/>
        <color rgb="FFC00000"/>
        <rFont val="Arial"/>
        <family val="2"/>
      </rPr>
      <t>[Maps to master logframe Impact Indicators 1A &amp; 1B]</t>
    </r>
  </si>
  <si>
    <t>Achieved (total)</t>
  </si>
  <si>
    <t>Source and measurement approach</t>
  </si>
  <si>
    <t>Data provided by investors / companies supported by MA at point of financial close. MA M&amp;E team check in with investor / company to verify that business plan submitted previously still holds true, or whether adjustments need to be made to committed number of direct jobs based on amount of capital raised or other internal / external factors.</t>
  </si>
  <si>
    <t>Impact Indicator 1B</t>
  </si>
  <si>
    <t>Number of direct and indirect jobs MA helped create (gender disaggregated)</t>
  </si>
  <si>
    <t>Achieved (direct jobs for men)</t>
  </si>
  <si>
    <t>Achieved (direct jobs for women):</t>
  </si>
  <si>
    <t xml:space="preserve">Achieved (indirect jobs): </t>
  </si>
  <si>
    <t>Data to be collected from investors / companies 18-24 months after financial close. Direct jobs data will be based on actual employee contracts in the last financial year, whereas indirect jobs will be modelled using MA's development impact model using companies' revenues and local spend on inputs/raw materials as an input.</t>
  </si>
  <si>
    <r>
      <t xml:space="preserve">Relative growth of manufacturing output in 
priority sectors of the programme 
compared to growth in manufacturing 
output in each MA focus country.
</t>
    </r>
    <r>
      <rPr>
        <b/>
        <sz val="8"/>
        <color rgb="FFC00000"/>
        <rFont val="Arial"/>
        <family val="2"/>
      </rPr>
      <t>[Maps to master logframe Impact Indicator 2]</t>
    </r>
  </si>
  <si>
    <t>N/A - not cumulative</t>
  </si>
  <si>
    <t xml:space="preserve">Data used to compare output in MA priority sectors with overall manufacturing sector output in Tanzania will be collected from MA company data (where supporting new sectors), national statistical agencies and World Bank data. </t>
  </si>
  <si>
    <t>Increased foreign direct investment that leads to significant productivity spillovers in the host economy while strengthening local institutions to attract and retain FDI.</t>
  </si>
  <si>
    <t>Additional foreign direct investment generated by Manufacturing Africa  (£ Billion) - Definition as per "deal signing" in PBR document.</t>
  </si>
  <si>
    <t xml:space="preserve">Other factors do not undermine the positive impact on investment. Potential factors include (but are not limited to):
- Political unrest
- Conflict
- Global economic slowdown
- Unavailability of finance
Investor perceptions change in line with actual reforms
</t>
  </si>
  <si>
    <t>Achived (total)</t>
  </si>
  <si>
    <t xml:space="preserve">Data collected at point of financial close from signed term sheets or investor press releases and recorded in Salesforce. The level of FDI will again be checked 18-24 months after financial close (to the extent that is reasonably possible) to ensure that funds have been disbursed and spent.
FDI targets will include working capital facilitated as well as investment facilitated, reflecting the Covid context. This will apply up to the year ending 2022. Consideration will be given to extending this to cover the year ending 2023 as well accounting for the duration of Covid.  A view will be taken on this at the 2021 Annual Review. Results should be reported separately for relevant years both for working capital facilitated and for investment facilitated.
</t>
  </si>
  <si>
    <t xml:space="preserve">Number of deals which meet performance targets relating to high economic transformation or high positive climate impact </t>
  </si>
  <si>
    <t>PBR element scores either a)above 10 total PbR points or b) 3 or more points for positive climate impact during a final check of PbR scores 18-24 months after financial close. This final check will be completed by MA's M&amp;E team who will collect written evidence from companies / investors to support this. Final PbR scores will be signed off by an FCDO advisor and recorded in Salesforce.</t>
  </si>
  <si>
    <t>Number of International Climate Finance (ICF) interventions in the programme (either technical assistance or transaction facilitation) which have evidence of transformational climate impact (i.e. scoring 3 or 4 against ICF KPI 15)</t>
  </si>
  <si>
    <t>MA's M&amp;E and Climate and Environment teams will prepare a submission of ICF impact KPIs on an annual basis, which will include evidence of transformational impact for key interventions (as per ICF guidance). This will be used to provide evidence for this logframe indicator.</t>
  </si>
  <si>
    <t>Intermediate Outcome 1</t>
  </si>
  <si>
    <t>Intermediate Outcome Indicator 1</t>
  </si>
  <si>
    <t>Number of qualifying FDI investments generated and supported by Manufacturing Africa in target countries.</t>
  </si>
  <si>
    <r>
      <t xml:space="preserve">Number of deals brought to financial close.
</t>
    </r>
    <r>
      <rPr>
        <b/>
        <sz val="8"/>
        <color rgb="FFC00000"/>
        <rFont val="Arial"/>
        <family val="2"/>
      </rPr>
      <t>[Maps to master logframe Intermediate Outcome Indicator 1.1]</t>
    </r>
  </si>
  <si>
    <t xml:space="preserve">Significant number of manufacturing MNEs are looking to relocate productive capacity in new low cost locations.  
Potential investments can be used to leverage regulatory changes and aftercare support in partner countries.  
</t>
  </si>
  <si>
    <t xml:space="preserve">Data collected at point of financial close from signed term sheets or investor press releases and recorded in Salesforce. </t>
  </si>
  <si>
    <t>Intermediate Outcome Indicator 2.2</t>
  </si>
  <si>
    <t xml:space="preserve">Number of market development technical assistance interventions designed and implemented in targeted sectors, which businesses assess as having successfully addressed key barriers to investment originating from either the public or private sector (e.g. lack of local skills, weak logistics, lack of infrastructure etc)" </t>
  </si>
  <si>
    <t xml:space="preserve">Planned
</t>
  </si>
  <si>
    <t>Evidence of feedback from market actors (e.g. investors, businesses, industry associations) which demonstrates that TA has addressed key barriers to investment.</t>
  </si>
  <si>
    <t>Intermediate Outcome 2</t>
  </si>
  <si>
    <t>Intermediate Outcome Indicator 2.1</t>
  </si>
  <si>
    <t>Improved manufacturing business environment and strengthened Government capacity to deliver foreign investor related services in targeted countries</t>
  </si>
  <si>
    <t>Number of investment/business environment policy reforms supported with government agencies/ institutions (“Policy reform” entails a change to legislation or a change in strategy or approach by a government institution recorded in a public pronouncement); OR substantial improvements made to the operations of such an institution (as reflected by feedback from a leader in that organisation or beneficiaries of its services)</t>
  </si>
  <si>
    <t xml:space="preserve"> Technical inputs are internalised within partner Governments and are used in policy/decision-making
- Political imperatives do not supersede the use of evidence based decision-making in the majority of cases
- Partner Governments trusts the advice coming from the facility and uses the expertise available</t>
  </si>
  <si>
    <t>Achieved (policy reform)</t>
  </si>
  <si>
    <t>Achieved (improved operations)</t>
  </si>
  <si>
    <t>Evidence of feedback from government agencies and IPAs which demonstrates policy reform or operational improvements have been implemented.</t>
  </si>
  <si>
    <t>Intermediate Outcome 3</t>
  </si>
  <si>
    <t>Intermediate Outcome Indicator 3</t>
  </si>
  <si>
    <t xml:space="preserve">Business linkages for African firms facilitated by Manufacturing Africa.  </t>
  </si>
  <si>
    <r>
      <t xml:space="preserve">Number of domestic enterprises that have secured contracts as upstream market providers in the value chain as a result of Manufacturing Africa. </t>
    </r>
    <r>
      <rPr>
        <b/>
        <sz val="8"/>
        <color rgb="FFC00000"/>
        <rFont val="Arial"/>
        <family val="2"/>
      </rPr>
      <t>[Maps to master logframe Intermediate Outcome Indicator 3.1]</t>
    </r>
  </si>
  <si>
    <t xml:space="preserve">Sufficient local capacity to be included in MNE supply chains.
Domestic enterprises trust the advice and facilitation coming from MA and uses the expertise available.
Domestic firms can access finance to increase capacity as needed to supply MNEs.
</t>
  </si>
  <si>
    <t>Written evidence from companies and investors which demonstrates that they have contracted upstream domestic enterprises to provide inputs or services after financial close and establishment of manufacturing operations.</t>
  </si>
  <si>
    <t>Manufacturing businesses and investors provided with targeted transaction facilitation support, e.g. on investor memo development, investor outreach, business case development, market assessment and due diligence</t>
  </si>
  <si>
    <r>
      <t xml:space="preserve">Number of investment leads provided with high quality substantive support - i.e. Those that which the firm agrees had a significant positive impact on their investment decision </t>
    </r>
    <r>
      <rPr>
        <b/>
        <sz val="8"/>
        <color rgb="FFC00000"/>
        <rFont val="Arial"/>
        <family val="2"/>
      </rPr>
      <t>[Maps to master logframe Output Indicator 1.1 &amp; 1.3]</t>
    </r>
  </si>
  <si>
    <t xml:space="preserve">MNEs are willing to engage with and receive support from Manufacturing Africa.
Significant number of manufacturing MNEs are looking to relocate productive capacity in new low cost locations.  
Potential investments can be used to leverage regulatory changes and aftercare support in partner countries.  </t>
  </si>
  <si>
    <t>Deals which are at "support completed" stage in Salesforce.</t>
  </si>
  <si>
    <r>
      <t>Number of deals supported which qualify as "highly economically transformative".</t>
    </r>
    <r>
      <rPr>
        <b/>
        <sz val="8"/>
        <color rgb="FFC00000"/>
        <rFont val="Arial"/>
        <family val="2"/>
      </rPr>
      <t xml:space="preserve"> [Maps to master logframe Output Indicator 1.2]</t>
    </r>
  </si>
  <si>
    <t>Deals which are at "support completed" stage in Salesforce and which are expected to score 10 or more PbR points.</t>
  </si>
  <si>
    <r>
      <t xml:space="preserve">Number of deals provided with substantive support which have been screened for Basic Compliance related to Gender, Economic and Social Inclusion (as evidenced by a completed GESI DD Form) . </t>
    </r>
    <r>
      <rPr>
        <b/>
        <sz val="8"/>
        <color rgb="FFC00000"/>
        <rFont val="Arial"/>
        <family val="2"/>
      </rPr>
      <t xml:space="preserve">[Maps to master logframe Output Indicator 2.1        </t>
    </r>
    <r>
      <rPr>
        <sz val="8"/>
        <color theme="1"/>
        <rFont val="Arial"/>
        <family val="2"/>
      </rPr>
      <t xml:space="preserve">
</t>
    </r>
    <r>
      <rPr>
        <b/>
        <sz val="11"/>
        <color rgb="FFFF0000"/>
        <rFont val="Arial"/>
        <family val="2"/>
      </rPr>
      <t>[2x Challenge]</t>
    </r>
  </si>
  <si>
    <t>Evidence of GESI DD forms completed for all deals supported.</t>
  </si>
  <si>
    <t>Output Indicator 2</t>
  </si>
  <si>
    <t>Government agencies / institutions supported or influenced to improve policy and operations in response to problems impeding FDI (especially those holding back identified potential investments) – e.g. targeted at investment policies, local content strategies, special economic zones etc</t>
  </si>
  <si>
    <r>
      <t xml:space="preserve">Number of substantive technical assistance deliverables (i.e. entailing at least 10 days of support)  supporting government agencies / institutions approved and implemented to a high-quality standard (as assessed by the FCDO advisor, drawing on recipient feedback). </t>
    </r>
    <r>
      <rPr>
        <b/>
        <sz val="8"/>
        <color rgb="FFC00000"/>
        <rFont val="Arial"/>
        <family val="2"/>
      </rPr>
      <t>[Maps to master logframe Output Indicator 2.1]</t>
    </r>
  </si>
  <si>
    <t>Government requests support in areas that are relevant to the current/future investment programme
 Technical inputs are internalised within partner Governments and are used in policy/decision-making
- Political imperatives do not supersede the use of evidence based decision-making in the majority of cases
- Partner Governments trusts the advice coming from the facility and uses the expertise available
- Government requests support in areas that are relevant to the current/future investment programme</t>
  </si>
  <si>
    <t>Final TA project deliverables approved by FCDO. Each standalone deliverable which entailed at least 10 days of support within a TA call down supporting a government institution will count towards the target here. For example, if under one call down MA supports an Investment Promotion Authority to develop pitch decks for two different sectors and redesign its aftercare process, this will count as 3 substantive deliverables.</t>
  </si>
  <si>
    <t>Wider support (beyond just Government) to address problems impeding manufacturing FDI (especially those holding back identified potential investments or linked activity) – e.g. skills development, support for local input providers, lack of infrastructure etc</t>
  </si>
  <si>
    <r>
      <t xml:space="preserve">Number of support programmes (i.e. standalone projects entailing at least 10 days of support), guided by market systems principles, designed and implemented by the contractor in targeted sectors which address key barriers to manufacturing activity, and which are delivered to a high standard (as assessed by the FCDO advisor, drawing on recipient feedback). </t>
    </r>
    <r>
      <rPr>
        <b/>
        <sz val="8"/>
        <color rgb="FFC00000"/>
        <rFont val="Arial"/>
        <family val="2"/>
      </rPr>
      <t>[Maps to master logframe Output Indicator 3.1]</t>
    </r>
  </si>
  <si>
    <t>Certain key issues impeding identified investors can be addressed within a reasonable time frame (c.2 years)
Other FCDO programmes and development partners are open to collaboration and co-funding initiatives alongside MA.</t>
  </si>
  <si>
    <t>Final TA project deliverables approved by FCDO. Each standalone deliverable which entailed at least 10 days of support within a TA call down focused on market systems development will count towards the target here. For example, if under one call down MA implements an e-mobility pilot and convenes investors and provides capacity building to plastic recycling SMEs around standards, this will count as 2 substantive deliverables.</t>
  </si>
  <si>
    <r>
      <t xml:space="preserve">Number of third parties (other FCDO programmes, other donors, charities, philanthropic organisations etc) substantially engaged with (i.e. at least 5 days time invested), in a way judged to be effective (as assessed by the FCDO advisor, drawing on recipient feedback)  to undertake new activity targeted at addressing key barriers to manufacturing activity.  </t>
    </r>
    <r>
      <rPr>
        <b/>
        <sz val="8"/>
        <color rgb="FFC00000"/>
        <rFont val="Arial"/>
        <family val="2"/>
      </rPr>
      <t>[Maps to master logframe Output Indicator 3.2]</t>
    </r>
  </si>
  <si>
    <t>Evidence of MA working with partner programmes or organisations to address barriers to manufacturing.</t>
  </si>
  <si>
    <t>Support to investors and manufacturers to strengthen upstream and downstream linkages</t>
  </si>
  <si>
    <r>
      <t xml:space="preserve">Number of support packages provided either to foreign investors to encourage them to increase demand from domestic enterprises, or to domestic enterprises themselves to enable them to meet such demand (entailing at least 5 days of support, and implemented to a high-quality standard as reviewed by the FCDO advisor, drawing on recipient feedback). </t>
    </r>
    <r>
      <rPr>
        <b/>
        <sz val="8"/>
        <color rgb="FFC00000"/>
        <rFont val="Arial"/>
        <family val="2"/>
      </rPr>
      <t>[Maps to master logframe Output Indicator 4.1]</t>
    </r>
  </si>
  <si>
    <t xml:space="preserve">Sufficient local capacity to be included in MNE supply chains.
Domestic enterprises trust the advice and facilitation coming from MA and uses the expertise available.
Domestic firms can access finance to increase capacity as needed to supply MNEs.
</t>
  </si>
  <si>
    <t>Evidence of TF work packages which help investors and businesses source from domestic enterprises as saved in Salesforce.</t>
  </si>
  <si>
    <t>Tanzania Productivity for Prosperity (P4P)</t>
  </si>
  <si>
    <t>Project  number 300116-401</t>
  </si>
  <si>
    <t>Milestone 1</t>
  </si>
  <si>
    <t>Milestone 2</t>
  </si>
  <si>
    <t>Target (date)</t>
  </si>
  <si>
    <t xml:space="preserve">Sucessful formulation and delivery of TDV2050 </t>
  </si>
  <si>
    <t xml:space="preserve">TDV2050 that includes policy considerations based on   economic transformation priorities and increased knowledge of Tanzania's financial sector contribution. </t>
  </si>
  <si>
    <t>Commitment to finance economic transformation inititaives aimed at producing equitable development outcomes, creating jobs and reducing poverty by the Government of Tanzania</t>
  </si>
  <si>
    <t>Ministry of Investment and Planning (MIP)  and Planning Commission (PC) are equiped to draft TDV2050</t>
  </si>
  <si>
    <t>Increased technical knowledge and capacity of MIP and PC staff.</t>
  </si>
  <si>
    <t>Increased technical knowledge and capacity of TDV2050 drafters, planning comission and Permananet Secretaries and Deputy permanent Secretaries and LTPP</t>
  </si>
  <si>
    <t>INPUTS (£)</t>
  </si>
  <si>
    <t>FCDO (£)</t>
  </si>
  <si>
    <t>Appeal income (£)</t>
  </si>
  <si>
    <t>Other (£)</t>
  </si>
  <si>
    <t>Total (£)</t>
  </si>
  <si>
    <t>FCDO SHARE (%)</t>
  </si>
  <si>
    <t>OUTPUT 1</t>
  </si>
  <si>
    <t xml:space="preserve">Target (date) </t>
  </si>
  <si>
    <t>Assumption</t>
  </si>
  <si>
    <t>Increased knowledge based on research to support the formulation of TDV20250</t>
  </si>
  <si>
    <t xml:space="preserve">Economic analysis on Economic Transformation </t>
  </si>
  <si>
    <t>Draft research paper</t>
  </si>
  <si>
    <t>Final research Paper</t>
  </si>
  <si>
    <t>Production of research paper on financing Financing Tanzania’s Development Vision 2050</t>
  </si>
  <si>
    <t>Draft research Paper</t>
  </si>
  <si>
    <t>Final research paper</t>
  </si>
  <si>
    <t>WEIGHTING (%)</t>
  </si>
  <si>
    <t xml:space="preserve">Deep dive paper </t>
  </si>
  <si>
    <t>Draft Outline and draft paper</t>
  </si>
  <si>
    <t>Final Deep dive paper</t>
  </si>
  <si>
    <t>RISK RATING</t>
  </si>
  <si>
    <t>OUTPUT 2</t>
  </si>
  <si>
    <t>TDV Support</t>
  </si>
  <si>
    <t>signing MOU with the Ministry and Planning Commisson</t>
  </si>
  <si>
    <t>Signed MOU</t>
  </si>
  <si>
    <t>Provision of technical assistance to Planning comission such as peer review and advisory support</t>
  </si>
  <si>
    <t xml:space="preserve">On going </t>
  </si>
  <si>
    <t>INPUTS (HR)</t>
  </si>
  <si>
    <t>FCDO (FTEs)</t>
  </si>
  <si>
    <t>OUTPUT 3</t>
  </si>
  <si>
    <t xml:space="preserve">Capacity Building </t>
  </si>
  <si>
    <t>Capacity building workshops for TDV2050 drafters, planning comission staff and Permananet Secretaries and Deputy permanent Secretaries and LTPP</t>
  </si>
  <si>
    <t>14?12/2023</t>
  </si>
  <si>
    <t xml:space="preserve"> 01/06/2024</t>
  </si>
  <si>
    <t>Deep Dive Workshop</t>
  </si>
  <si>
    <t>UK-Tanzania Green Growth Fund</t>
  </si>
  <si>
    <t>Result level</t>
  </si>
  <si>
    <t>Indicator</t>
  </si>
  <si>
    <t xml:space="preserve">Cumulative or annual </t>
  </si>
  <si>
    <t>Baseline (Aug.-2023)</t>
  </si>
  <si>
    <r>
      <t xml:space="preserve">Number of new jobs and number of jobs with improved incomes as result of the Facility's activities
Disaggregated by results for (i) Gender, </t>
    </r>
    <r>
      <rPr>
        <sz val="10"/>
        <color theme="1"/>
        <rFont val="Arial"/>
        <family val="2"/>
      </rPr>
      <t>(ii) direct and indirect jobs, (iii) projection and actuals</t>
    </r>
  </si>
  <si>
    <t>Planned: new jobs</t>
  </si>
  <si>
    <t>Cumulative</t>
  </si>
  <si>
    <t>Planned: jobs with improved incomes</t>
  </si>
  <si>
    <t>Achieved: new jobs</t>
  </si>
  <si>
    <t>Achieved: jobs with improved incomes</t>
  </si>
  <si>
    <t>Volume of investment mobilised 
Disaggregated by (i) Projections and actuals (further disaggregated by (a) investments that have secured an investor commitment, such as a term sheet and (b) investments disbursed), (ii) Direct and indirect investment (iii) 2X Challenge sales and non-2X Challenge firms</t>
  </si>
  <si>
    <t>Total volume of investment – planned</t>
  </si>
  <si>
    <t>Total committed investment – planned</t>
  </si>
  <si>
    <t>Total disbursed investment – planned</t>
  </si>
  <si>
    <t>N/A – this aggregation was created in Y2.</t>
  </si>
  <si>
    <t>Total volume of  investment – achieved</t>
  </si>
  <si>
    <t>Total committed investment – achieved</t>
  </si>
  <si>
    <t>Total disbursed investment – achieved</t>
  </si>
  <si>
    <t>Volume of private investment mobilised for climate change purposes
(i) Projections and actuals (further disaggregated by (a) investments that have secured an investor commitment, such as a term sheet and (b) investments disbursed), (ii) Direct and indirect investment, (iii) investment mobilised for 2X Challenge firms and non-2X Challenge firms</t>
  </si>
  <si>
    <t>Total investment for climate – planned</t>
  </si>
  <si>
    <t>Total committed investment for climate – planned</t>
  </si>
  <si>
    <t>Total disbursed investment for climate – planned</t>
  </si>
  <si>
    <t>Total investment for climate – achieved</t>
  </si>
  <si>
    <t>Total committed investment for climate – achieved</t>
  </si>
  <si>
    <t>Total disbursed investment for climate – achieved</t>
  </si>
  <si>
    <t>Increase in firm revenues
Disaggregated by (i) Direct and indirect sales (ii) 2X Challenge sales and non-2X Challenge sales, (iii) national and international sales</t>
  </si>
  <si>
    <t xml:space="preserve">Planned – Total sales </t>
  </si>
  <si>
    <t>Planned – International Trade</t>
  </si>
  <si>
    <t xml:space="preserve">Achieved – Total sales </t>
  </si>
  <si>
    <t>Achieved – International Trade</t>
  </si>
  <si>
    <t xml:space="preserve">Number of politically informed, substantive business environment reforms progressed with government agencies
Disaggregated by (i) Policy reform and Government systems-building activities, (ii) policy reform stage, as outlined in GGF’s policy reform tracker. </t>
  </si>
  <si>
    <t>Planned – politically informed, substantive business environment reforms progressed with government agencies</t>
  </si>
  <si>
    <t>Planned – of which reach 'high level response' (stage 3)</t>
  </si>
  <si>
    <t>Planned – of which reach 'formal policy change' (stage 4)</t>
  </si>
  <si>
    <t>Actual – politically informed, substantive business environment reforms progressed with government agencies</t>
  </si>
  <si>
    <t>Actual – of which reach 'high level response' (stage 3)</t>
  </si>
  <si>
    <t>Actual – of which reach 'formal policy change' (stage 4)</t>
  </si>
  <si>
    <t>Emissions reduced or avoided that have been supported by ICF TA (ICF TA KPI 5)
FCDO’s ICF TA KPI 5 guidance note outlines the following types of disaggregation: (i) sector, (ii) type of TA, and (iii) actor that has delivered the emissions abatements. GGF will also (iv) disaggregate between actuals and projections.</t>
  </si>
  <si>
    <t>Planned - total emissions reduced or avoided</t>
  </si>
  <si>
    <t>Achieved - total emissions reduced or avoided</t>
  </si>
  <si>
    <t>Hectares of land that have received sustainable land management practices
FCDO’s ICF KPI 17 guidance note outlines the following types of disaggregation: (i) sustainable management theme: management, restoration or protection, (ii) sustainable management practice (SMP) group, (iii) ecosystem type, and (iv) results achieved and results projected</t>
  </si>
  <si>
    <t>Planned - total hectares of land</t>
  </si>
  <si>
    <t>Achieved - total hectares of land</t>
  </si>
  <si>
    <t>Number of intervention areas with evidence that it is leading to transformational market systems changes</t>
  </si>
  <si>
    <t>OUTPUTS</t>
  </si>
  <si>
    <t>Output Indicator 1</t>
  </si>
  <si>
    <t>Improved climate policies, and stronger UK-Tanzania economic cooperation through demand-driven technical assistance.</t>
  </si>
  <si>
    <t>Annual</t>
  </si>
  <si>
    <t>N/A – this output indicator was created in Y2.</t>
  </si>
  <si>
    <t>Output Indicator 3</t>
  </si>
  <si>
    <t>Output Indicator 4</t>
  </si>
  <si>
    <t>Percentage of completed SOWs approved by FCDO without substantial revision.
Disaggregated by (i) Percentage without substantial revision by Outputs 1, 2 and 3 and (ii) percentage without substantial revision by workstream</t>
  </si>
  <si>
    <t>Planned - Completed SoWs</t>
  </si>
  <si>
    <t>Of which contributes to Output 1</t>
  </si>
  <si>
    <t>Of which contributes to Output 2</t>
  </si>
  <si>
    <t>Of which contributes to Output 3</t>
  </si>
  <si>
    <t>Of which is under TAF workstream</t>
  </si>
  <si>
    <t>Of which is under carbon markets workstream</t>
  </si>
  <si>
    <t>Of which contributes to investment markets workstream</t>
  </si>
  <si>
    <t>Of which contributes to high value crops workstream</t>
  </si>
  <si>
    <t>Achieved - Completed SoWs</t>
  </si>
  <si>
    <t>Output Indicator 5</t>
  </si>
  <si>
    <t xml:space="preserve">Percentage of SoWs agreed approved in the preceding reporting year, submitted and approved by FCDO by the end of the review year. 
Disaggregated by (i) Percentage completion by Outputs 1, 2 and 3 and (ii) percentage completion by workstream
</t>
  </si>
  <si>
    <t>Planned - Approved SoWs</t>
  </si>
  <si>
    <t>Achieved - Approved SoWs</t>
  </si>
  <si>
    <t>Output Indicator 6</t>
  </si>
  <si>
    <t>System has been designed and put into practice in Y2 of the Programme.</t>
  </si>
  <si>
    <t>MEL system had been designed and put into place in Y2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</si>
</sst>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3" formatCode="_-* #,##0.00_-;\-* #,##0.00_-;_-* &quot;-&quot;??_-;_-@_-"/>
    <numFmt numFmtId="164" formatCode="0.000"/>
    <numFmt numFmtId="165" formatCode="mmm\-yyyy"/>
    <numFmt numFmtId="166" formatCode="&quot;$&quot;#,##0"/>
    <numFmt numFmtId="167" formatCode="[$$-409]#,##0"/>
    <numFmt numFmtId="168" formatCode="0.0%"/>
    <numFmt numFmtId="169" formatCode="_(* #,##0.00_);_(* \(#,##0.00\);_(* &quot;-&quot;??_);_(@_)"/>
    <numFmt numFmtId="170" formatCode="_(* #,##0_);_(* \(#,##0\);_(* &quot;-&quot;??_);_(@_)"/>
    <numFmt numFmtId="171" formatCode="_(&quot;$&quot;* #,##0.00_);_(&quot;$&quot;* \(#,##0.00\);_(&quot;$&quot;* &quot;-&quot;??_);_(@_)"/>
    <numFmt numFmtId="172" formatCode="_(&quot;$&quot;* #,##0_);_(&quot;$&quot;* \(#,##0\);_(&quot;$&quot;* &quot;-&quot;??_);_(@_)"/>
    <numFmt numFmtId="173" formatCode="_(&quot;$&quot;* #,##0.0000_);_(&quot;$&quot;* \(#,##0.0000\);_(&quot;$&quot;* &quot;-&quot;??_);_(@_)"/>
    <numFmt numFmtId="174" formatCode="_-* #,##0_-;\-* #,##0_-;_-* &quot;-&quot;??_-;_-@_-"/>
    <numFmt numFmtId="175" formatCode="_-[$£-809]* #,##0.00_-;\-[$£-809]* #,##0.00_-;_-[$£-809]* &quot;-&quot;??_-;_-@_-"/>
  </numFmts>
  <fonts count="55">
    <font>
      <sz val="11"/>
      <color theme="1"/>
      <name val="Calibri"/>
      <family val="2"/>
      <scheme val="minor"/>
    </font>
    <font>
      <sz val="10"/>
      <name val="Arial"/>
      <family val="2"/>
    </font>
    <font>
      <b/>
      <sz val="12"/>
      <color theme="0"/>
      <name val="Arial"/>
      <family val="2"/>
    </font>
    <font>
      <b/>
      <sz val="10"/>
      <color theme="0"/>
      <name val="Arial"/>
      <family val="2"/>
    </font>
    <font>
      <b/>
      <sz val="10"/>
      <color rgb="FFFFFFFF"/>
      <name val="Arial"/>
      <family val="2"/>
    </font>
    <font>
      <b/>
      <sz val="10"/>
      <name val="Arial"/>
      <family val="2"/>
    </font>
    <font>
      <i/>
      <sz val="10"/>
      <name val="Arial"/>
      <family val="2"/>
    </font>
    <font>
      <sz val="10"/>
      <color theme="0"/>
      <name val="Arial"/>
      <family val="2"/>
    </font>
    <font>
      <sz val="9"/>
      <name val="Arial"/>
      <family val="2"/>
    </font>
    <font>
      <sz val="8"/>
      <name val="Arial"/>
      <family val="2"/>
    </font>
    <font>
      <b/>
      <sz val="8"/>
      <name val="Arial"/>
      <family val="2"/>
    </font>
    <font>
      <b/>
      <sz val="8"/>
      <color theme="0"/>
      <name val="Arial"/>
      <family val="2"/>
    </font>
    <font>
      <b/>
      <sz val="8"/>
      <color rgb="FF000000"/>
      <name val="Arial"/>
      <family val="2"/>
    </font>
    <font>
      <i/>
      <sz val="8"/>
      <name val="Arial"/>
      <family val="2"/>
    </font>
    <font>
      <sz val="8"/>
      <color rgb="FFFF0000"/>
      <name val="Arial"/>
      <family val="2"/>
    </font>
    <font>
      <b/>
      <sz val="8"/>
      <color rgb="FFFF0000"/>
      <name val="Arial"/>
      <family val="2"/>
    </font>
    <font>
      <b/>
      <sz val="8"/>
      <color theme="1"/>
      <name val="Arial"/>
      <family val="2"/>
    </font>
    <font>
      <sz val="8"/>
      <color theme="1"/>
      <name val="Arial"/>
      <family val="2"/>
    </font>
    <font>
      <sz val="12"/>
      <color theme="1"/>
      <name val="Calibri"/>
      <family val="2"/>
      <scheme val="minor"/>
    </font>
    <font>
      <sz val="10"/>
      <color rgb="FFFF0000"/>
      <name val="Arial"/>
      <family val="2"/>
    </font>
    <font>
      <b/>
      <sz val="10"/>
      <color rgb="FFFF0000"/>
      <name val="Arial"/>
      <family val="2"/>
    </font>
    <font>
      <sz val="10"/>
      <color theme="3" tint="0.39997558519241921"/>
      <name val="Arial"/>
      <family val="2"/>
    </font>
    <font>
      <i/>
      <sz val="10"/>
      <color rgb="FFC8102E"/>
      <name val="Arial"/>
      <family val="2"/>
    </font>
    <font>
      <i/>
      <sz val="10"/>
      <color theme="3" tint="0.39997558519241921"/>
      <name val="Arial"/>
      <family val="2"/>
    </font>
    <font>
      <sz val="10"/>
      <color rgb="FFC8102E"/>
      <name val="Arial"/>
      <family val="2"/>
    </font>
    <font>
      <b/>
      <sz val="10"/>
      <color rgb="FFC00000"/>
      <name val="Arial"/>
      <family val="2"/>
    </font>
    <font>
      <b/>
      <sz val="8"/>
      <color rgb="FFC00000"/>
      <name val="Arial"/>
      <family val="2"/>
    </font>
    <font>
      <sz val="9"/>
      <color theme="1"/>
      <name val="Arial"/>
      <family val="2"/>
    </font>
    <font>
      <b/>
      <sz val="9"/>
      <color theme="1"/>
      <name val="Arial"/>
      <family val="2"/>
    </font>
    <font>
      <sz val="10"/>
      <color theme="1"/>
      <name val="Arial"/>
      <family val="2"/>
    </font>
    <font>
      <b/>
      <sz val="10"/>
      <color theme="1"/>
      <name val="Arial"/>
      <family val="2"/>
    </font>
    <font>
      <sz val="8"/>
      <color theme="1"/>
      <name val="Calibri"/>
      <family val="2"/>
      <scheme val="minor"/>
    </font>
    <font>
      <b/>
      <sz val="10"/>
      <color rgb="FF000000"/>
      <name val="Arial"/>
      <family val="2"/>
    </font>
    <font>
      <sz val="11"/>
      <color theme="1"/>
      <name val="Calibri"/>
      <family val="2"/>
      <scheme val="minor"/>
    </font>
    <font>
      <sz val="10"/>
      <name val="Arial"/>
      <family val="2"/>
    </font>
    <font>
      <b/>
      <sz val="9"/>
      <name val="Arial"/>
      <family val="2"/>
    </font>
    <font>
      <sz val="8"/>
      <color rgb="FF000000"/>
      <name val="Arial"/>
      <family val="2"/>
    </font>
    <font>
      <i/>
      <sz val="10"/>
      <color rgb="FFFF0000"/>
      <name val="Arial"/>
      <family val="2"/>
    </font>
    <font>
      <b/>
      <sz val="11"/>
      <color rgb="FFFF0000"/>
      <name val="Arial"/>
      <family val="2"/>
    </font>
    <font>
      <sz val="10"/>
      <color rgb="FF000000"/>
      <name val="Arial"/>
      <family val="2"/>
    </font>
    <font>
      <sz val="10"/>
      <name val="Arial"/>
    </font>
    <font>
      <i/>
      <sz val="10"/>
      <name val="Arial"/>
    </font>
    <font>
      <i/>
      <sz val="10"/>
      <color rgb="FFFF0000"/>
      <name val="Arial"/>
    </font>
    <font>
      <b/>
      <sz val="10"/>
      <name val="Arial"/>
    </font>
    <font>
      <i/>
      <sz val="10"/>
      <color rgb="FFC8102E"/>
      <name val="Arial"/>
    </font>
    <font>
      <b/>
      <sz val="10"/>
      <color theme="0"/>
      <name val="Arial"/>
    </font>
    <font>
      <sz val="10"/>
      <color theme="6"/>
      <name val="Arial"/>
      <family val="2"/>
    </font>
    <font>
      <i/>
      <sz val="10"/>
      <color theme="6"/>
      <name val="Arial"/>
      <family val="2"/>
    </font>
    <font>
      <sz val="10"/>
      <color theme="6"/>
      <name val="Arial"/>
    </font>
    <font>
      <i/>
      <sz val="10"/>
      <color theme="6"/>
      <name val="Arial"/>
    </font>
    <font>
      <sz val="10"/>
      <color rgb="FF000000"/>
      <name val="Arial"/>
    </font>
    <font>
      <b/>
      <sz val="10"/>
      <color rgb="FF000000"/>
      <name val="Arial"/>
    </font>
    <font>
      <b/>
      <sz val="10"/>
      <color rgb="FFFF0000"/>
      <name val="Arial"/>
    </font>
    <font>
      <b/>
      <i/>
      <sz val="10"/>
      <color rgb="FFC8102E"/>
      <name val="Arial"/>
    </font>
    <font>
      <sz val="10"/>
      <color rgb="FFFF0000"/>
      <name val="Arial"/>
    </font>
  </fonts>
  <fills count="32">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theme="1"/>
        <bgColor indexed="64"/>
      </patternFill>
    </fill>
    <fill>
      <patternFill patternType="solid">
        <fgColor rgb="FF1F497D"/>
        <bgColor indexed="64"/>
      </patternFill>
    </fill>
    <fill>
      <patternFill patternType="solid">
        <fgColor rgb="FF1F497D"/>
        <bgColor rgb="FF000000"/>
      </patternFill>
    </fill>
    <fill>
      <patternFill patternType="solid">
        <fgColor rgb="FFC0C0C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bgColor theme="0"/>
      </patternFill>
    </fill>
    <fill>
      <patternFill patternType="solid">
        <fgColor theme="0" tint="-0.249977111117893"/>
        <bgColor theme="0"/>
      </patternFill>
    </fill>
    <fill>
      <patternFill patternType="solid">
        <fgColor theme="9" tint="0.59999389629810485"/>
        <bgColor indexed="64"/>
      </patternFill>
    </fill>
    <fill>
      <patternFill patternType="solid">
        <fgColor indexed="5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rgb="FF000000"/>
      </patternFill>
    </fill>
    <fill>
      <patternFill patternType="solid">
        <fgColor rgb="FFFFFFFF"/>
        <bgColor rgb="FF000000"/>
      </patternFill>
    </fill>
    <fill>
      <patternFill patternType="solid">
        <fgColor rgb="FFDAE2F2"/>
        <bgColor indexed="64"/>
      </patternFill>
    </fill>
    <fill>
      <patternFill patternType="solid">
        <fgColor theme="0"/>
        <bgColor rgb="FF000000"/>
      </patternFill>
    </fill>
    <fill>
      <patternFill patternType="solid">
        <fgColor rgb="FF00B050"/>
        <bgColor indexed="64"/>
      </patternFill>
    </fill>
    <fill>
      <patternFill patternType="solid">
        <fgColor theme="5"/>
        <bgColor indexed="64"/>
      </patternFill>
    </fill>
    <fill>
      <patternFill patternType="solid">
        <fgColor theme="6"/>
        <bgColor indexed="64"/>
      </patternFill>
    </fill>
    <fill>
      <patternFill patternType="solid">
        <fgColor theme="0" tint="-0.14999847407452621"/>
        <bgColor indexed="64"/>
      </patternFill>
    </fill>
  </fills>
  <borders count="7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thin">
        <color indexed="64"/>
      </left>
      <right style="medium">
        <color theme="1"/>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rgb="FF000000"/>
      </left>
      <right style="thin">
        <color indexed="64"/>
      </right>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s>
  <cellStyleXfs count="14">
    <xf numFmtId="0" fontId="0"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18" fillId="0" borderId="0"/>
    <xf numFmtId="171" fontId="18" fillId="0" borderId="0" applyFont="0" applyFill="0" applyBorder="0" applyAlignment="0" applyProtection="0"/>
    <xf numFmtId="169" fontId="18" fillId="0" borderId="0" applyFont="0" applyFill="0" applyBorder="0" applyAlignment="0" applyProtection="0"/>
    <xf numFmtId="9" fontId="33" fillId="0" borderId="0" applyFont="0" applyFill="0" applyBorder="0" applyAlignment="0" applyProtection="0"/>
    <xf numFmtId="0" fontId="34" fillId="0" borderId="0"/>
    <xf numFmtId="43" fontId="1" fillId="0" borderId="0" applyFont="0" applyFill="0" applyBorder="0" applyAlignment="0" applyProtection="0"/>
    <xf numFmtId="9" fontId="18" fillId="0" borderId="0" applyFont="0" applyFill="0" applyBorder="0" applyAlignment="0" applyProtection="0"/>
  </cellStyleXfs>
  <cellXfs count="1238">
    <xf numFmtId="0" fontId="0" fillId="0" borderId="0" xfId="0"/>
    <xf numFmtId="3" fontId="1" fillId="0" borderId="21" xfId="3" applyNumberFormat="1" applyBorder="1" applyAlignment="1">
      <alignment horizontal="center" vertical="center" wrapText="1"/>
    </xf>
    <xf numFmtId="0" fontId="3" fillId="10" borderId="0" xfId="3" applyFont="1" applyFill="1" applyAlignment="1">
      <alignment horizontal="left" vertical="center" wrapText="1"/>
    </xf>
    <xf numFmtId="0" fontId="7" fillId="10" borderId="0" xfId="3" applyFont="1" applyFill="1" applyAlignment="1">
      <alignment horizontal="left" vertical="center" wrapText="1"/>
    </xf>
    <xf numFmtId="166" fontId="1" fillId="3" borderId="21" xfId="3" applyNumberFormat="1" applyFill="1" applyBorder="1" applyAlignment="1">
      <alignment horizontal="right" vertical="center" wrapText="1"/>
    </xf>
    <xf numFmtId="166" fontId="5" fillId="3" borderId="21" xfId="3" applyNumberFormat="1" applyFont="1" applyFill="1" applyBorder="1" applyAlignment="1">
      <alignment horizontal="right" vertical="center" wrapText="1"/>
    </xf>
    <xf numFmtId="0" fontId="9" fillId="0" borderId="0" xfId="1" applyFont="1"/>
    <xf numFmtId="0" fontId="11" fillId="10" borderId="1" xfId="1" applyFont="1" applyFill="1" applyBorder="1" applyAlignment="1">
      <alignment vertical="top" wrapText="1"/>
    </xf>
    <xf numFmtId="0" fontId="11" fillId="10" borderId="7" xfId="1" applyFont="1" applyFill="1" applyBorder="1" applyAlignment="1">
      <alignment vertical="top" wrapText="1"/>
    </xf>
    <xf numFmtId="0" fontId="11" fillId="10" borderId="6" xfId="1" applyFont="1" applyFill="1" applyBorder="1" applyAlignment="1">
      <alignment horizontal="left" vertical="top" wrapText="1"/>
    </xf>
    <xf numFmtId="0" fontId="11" fillId="10" borderId="10" xfId="1" applyFont="1" applyFill="1" applyBorder="1" applyAlignment="1">
      <alignment horizontal="center" vertical="top" wrapText="1"/>
    </xf>
    <xf numFmtId="165" fontId="11" fillId="10" borderId="25" xfId="1" applyNumberFormat="1" applyFont="1" applyFill="1" applyBorder="1" applyAlignment="1">
      <alignment horizontal="center" vertical="top" wrapText="1"/>
    </xf>
    <xf numFmtId="165" fontId="11" fillId="10" borderId="60" xfId="1" applyNumberFormat="1" applyFont="1" applyFill="1" applyBorder="1" applyAlignment="1">
      <alignment horizontal="center" vertical="top" wrapText="1"/>
    </xf>
    <xf numFmtId="0" fontId="10" fillId="0" borderId="37" xfId="1" applyFont="1" applyBorder="1" applyAlignment="1">
      <alignment horizontal="left" vertical="top" wrapText="1"/>
    </xf>
    <xf numFmtId="3" fontId="10" fillId="0" borderId="61" xfId="1" applyNumberFormat="1" applyFont="1" applyBorder="1" applyAlignment="1">
      <alignment horizontal="center" vertical="top" wrapText="1"/>
    </xf>
    <xf numFmtId="3" fontId="12" fillId="0" borderId="21" xfId="1" applyNumberFormat="1" applyFont="1" applyBorder="1" applyAlignment="1">
      <alignment horizontal="center" vertical="top" wrapText="1"/>
    </xf>
    <xf numFmtId="3" fontId="12" fillId="14" borderId="21" xfId="1" applyNumberFormat="1" applyFont="1" applyFill="1" applyBorder="1" applyAlignment="1">
      <alignment horizontal="center" vertical="top" wrapText="1"/>
    </xf>
    <xf numFmtId="0" fontId="9" fillId="0" borderId="20" xfId="1" applyFont="1" applyBorder="1" applyAlignment="1">
      <alignment horizontal="left" vertical="top" wrapText="1" indent="2"/>
    </xf>
    <xf numFmtId="1" fontId="10" fillId="0" borderId="21" xfId="1" applyNumberFormat="1" applyFont="1" applyBorder="1" applyAlignment="1">
      <alignment horizontal="center"/>
    </xf>
    <xf numFmtId="1" fontId="10" fillId="14" borderId="21" xfId="1" applyNumberFormat="1" applyFont="1" applyFill="1" applyBorder="1" applyAlignment="1">
      <alignment horizontal="center" wrapText="1"/>
    </xf>
    <xf numFmtId="0" fontId="10" fillId="0" borderId="20" xfId="1" applyFont="1" applyBorder="1" applyAlignment="1">
      <alignment horizontal="left" vertical="top" wrapText="1"/>
    </xf>
    <xf numFmtId="0" fontId="9" fillId="0" borderId="42" xfId="1" applyFont="1" applyBorder="1" applyAlignment="1">
      <alignment horizontal="left" vertical="top" wrapText="1" indent="2"/>
    </xf>
    <xf numFmtId="3" fontId="10" fillId="0" borderId="21" xfId="1" applyNumberFormat="1" applyFont="1" applyBorder="1" applyAlignment="1">
      <alignment horizontal="center" vertical="top" wrapText="1"/>
    </xf>
    <xf numFmtId="3" fontId="10" fillId="14" borderId="21" xfId="1" applyNumberFormat="1" applyFont="1" applyFill="1" applyBorder="1" applyAlignment="1">
      <alignment horizontal="center" vertical="top" wrapText="1"/>
    </xf>
    <xf numFmtId="0" fontId="10" fillId="0" borderId="46" xfId="1" applyFont="1" applyBorder="1" applyAlignment="1">
      <alignment horizontal="left" vertical="top" wrapText="1"/>
    </xf>
    <xf numFmtId="3" fontId="10" fillId="12" borderId="62" xfId="1" applyNumberFormat="1" applyFont="1" applyFill="1" applyBorder="1" applyAlignment="1">
      <alignment horizontal="center" vertical="top" wrapText="1"/>
    </xf>
    <xf numFmtId="3" fontId="9" fillId="0" borderId="21" xfId="1" applyNumberFormat="1" applyFont="1" applyBorder="1" applyAlignment="1">
      <alignment horizontal="left" vertical="top" wrapText="1"/>
    </xf>
    <xf numFmtId="3" fontId="10" fillId="0" borderId="47" xfId="1" applyNumberFormat="1" applyFont="1" applyBorder="1" applyAlignment="1">
      <alignment horizontal="center" vertical="top" wrapText="1"/>
    </xf>
    <xf numFmtId="3" fontId="10" fillId="12" borderId="22" xfId="1" applyNumberFormat="1" applyFont="1" applyFill="1" applyBorder="1" applyAlignment="1">
      <alignment horizontal="center" vertical="top" wrapText="1"/>
    </xf>
    <xf numFmtId="3" fontId="9" fillId="0" borderId="21" xfId="1" applyNumberFormat="1" applyFont="1" applyBorder="1" applyAlignment="1">
      <alignment horizontal="center" vertical="top" wrapText="1"/>
    </xf>
    <xf numFmtId="9" fontId="13" fillId="0" borderId="21" xfId="4" applyFont="1" applyBorder="1" applyAlignment="1">
      <alignment horizontal="center" vertical="top" wrapText="1"/>
    </xf>
    <xf numFmtId="3" fontId="13" fillId="0" borderId="21" xfId="1" applyNumberFormat="1" applyFont="1" applyBorder="1" applyAlignment="1">
      <alignment horizontal="center" vertical="top" wrapText="1"/>
    </xf>
    <xf numFmtId="3" fontId="9" fillId="0" borderId="50" xfId="1" applyNumberFormat="1" applyFont="1" applyBorder="1" applyAlignment="1">
      <alignment horizontal="left" vertical="top" wrapText="1"/>
    </xf>
    <xf numFmtId="3" fontId="9" fillId="0" borderId="33" xfId="1" applyNumberFormat="1" applyFont="1" applyBorder="1" applyAlignment="1">
      <alignment horizontal="center" vertical="top" wrapText="1"/>
    </xf>
    <xf numFmtId="0" fontId="11" fillId="10" borderId="13" xfId="1" applyFont="1" applyFill="1" applyBorder="1" applyAlignment="1">
      <alignment vertical="top" wrapText="1"/>
    </xf>
    <xf numFmtId="0" fontId="11" fillId="10" borderId="35" xfId="1" applyFont="1" applyFill="1" applyBorder="1" applyAlignment="1">
      <alignment horizontal="left" vertical="top" wrapText="1"/>
    </xf>
    <xf numFmtId="0" fontId="10" fillId="0" borderId="24" xfId="1" applyFont="1" applyBorder="1" applyAlignment="1">
      <alignment horizontal="left" vertical="top" wrapText="1"/>
    </xf>
    <xf numFmtId="0" fontId="10" fillId="0" borderId="0" xfId="1" applyFont="1" applyAlignment="1">
      <alignment horizontal="center"/>
    </xf>
    <xf numFmtId="1" fontId="12" fillId="0" borderId="63" xfId="1" applyNumberFormat="1" applyFont="1" applyBorder="1" applyAlignment="1">
      <alignment horizontal="center" vertical="top" wrapText="1"/>
    </xf>
    <xf numFmtId="1" fontId="12" fillId="14" borderId="63" xfId="1" applyNumberFormat="1" applyFont="1" applyFill="1" applyBorder="1" applyAlignment="1">
      <alignment horizontal="center" vertical="top" wrapText="1"/>
    </xf>
    <xf numFmtId="3" fontId="10" fillId="0" borderId="16" xfId="1" applyNumberFormat="1" applyFont="1" applyBorder="1" applyAlignment="1">
      <alignment horizontal="center" vertical="top" wrapText="1"/>
    </xf>
    <xf numFmtId="3" fontId="10" fillId="12" borderId="21" xfId="1" applyNumberFormat="1" applyFont="1" applyFill="1" applyBorder="1" applyAlignment="1">
      <alignment horizontal="center" vertical="top" wrapText="1"/>
    </xf>
    <xf numFmtId="170" fontId="9" fillId="0" borderId="21" xfId="5" applyNumberFormat="1" applyFont="1" applyFill="1" applyBorder="1" applyAlignment="1">
      <alignment horizontal="left" vertical="center" wrapText="1"/>
    </xf>
    <xf numFmtId="3" fontId="9" fillId="12" borderId="33" xfId="1" applyNumberFormat="1" applyFont="1" applyFill="1" applyBorder="1" applyAlignment="1">
      <alignment horizontal="center" vertical="top" wrapText="1"/>
    </xf>
    <xf numFmtId="170" fontId="9" fillId="0" borderId="50" xfId="5" applyNumberFormat="1" applyFont="1" applyFill="1" applyBorder="1" applyAlignment="1">
      <alignment horizontal="left" vertical="center" wrapText="1"/>
    </xf>
    <xf numFmtId="0" fontId="10" fillId="3" borderId="0" xfId="1" applyFont="1" applyFill="1" applyAlignment="1">
      <alignment vertical="top" wrapText="1"/>
    </xf>
    <xf numFmtId="0" fontId="10" fillId="3" borderId="0" xfId="1" applyFont="1" applyFill="1" applyAlignment="1">
      <alignment horizontal="left" vertical="top" wrapText="1"/>
    </xf>
    <xf numFmtId="0" fontId="10" fillId="3" borderId="0" xfId="1" applyFont="1" applyFill="1" applyAlignment="1">
      <alignment horizontal="center" vertical="top" wrapText="1"/>
    </xf>
    <xf numFmtId="0" fontId="11" fillId="10" borderId="7" xfId="1" applyFont="1" applyFill="1" applyBorder="1" applyAlignment="1">
      <alignment horizontal="center" vertical="top" wrapText="1"/>
    </xf>
    <xf numFmtId="172" fontId="10" fillId="3" borderId="16" xfId="6" applyNumberFormat="1" applyFont="1" applyFill="1" applyBorder="1" applyAlignment="1">
      <alignment vertical="top" wrapText="1"/>
    </xf>
    <xf numFmtId="173" fontId="10" fillId="14" borderId="16" xfId="6" applyNumberFormat="1" applyFont="1" applyFill="1" applyBorder="1" applyAlignment="1">
      <alignment vertical="top" wrapText="1"/>
    </xf>
    <xf numFmtId="172" fontId="15" fillId="3" borderId="16" xfId="6" applyNumberFormat="1" applyFont="1" applyFill="1" applyBorder="1" applyAlignment="1">
      <alignment vertical="top" wrapText="1"/>
    </xf>
    <xf numFmtId="172" fontId="10" fillId="3" borderId="16" xfId="6" applyNumberFormat="1" applyFont="1" applyFill="1" applyBorder="1" applyAlignment="1">
      <alignment horizontal="center" vertical="top" wrapText="1"/>
    </xf>
    <xf numFmtId="0" fontId="13" fillId="0" borderId="20" xfId="1" applyFont="1" applyBorder="1" applyAlignment="1">
      <alignment horizontal="left" vertical="top" wrapText="1" indent="4"/>
    </xf>
    <xf numFmtId="172" fontId="10" fillId="3" borderId="21" xfId="6" applyNumberFormat="1" applyFont="1" applyFill="1" applyBorder="1" applyAlignment="1">
      <alignment vertical="top" wrapText="1"/>
    </xf>
    <xf numFmtId="172" fontId="10" fillId="14" borderId="21" xfId="6" applyNumberFormat="1" applyFont="1" applyFill="1" applyBorder="1" applyAlignment="1">
      <alignment vertical="top" wrapText="1"/>
    </xf>
    <xf numFmtId="172" fontId="10" fillId="0" borderId="21" xfId="6" applyNumberFormat="1" applyFont="1" applyFill="1" applyBorder="1" applyAlignment="1">
      <alignment vertical="top" wrapText="1"/>
    </xf>
    <xf numFmtId="172" fontId="10" fillId="12" borderId="21" xfId="6" applyNumberFormat="1" applyFont="1" applyFill="1" applyBorder="1" applyAlignment="1">
      <alignment vertical="top" wrapText="1"/>
    </xf>
    <xf numFmtId="172" fontId="9" fillId="0" borderId="21" xfId="1" applyNumberFormat="1" applyFont="1" applyBorder="1" applyAlignment="1">
      <alignment vertical="top" wrapText="1"/>
    </xf>
    <xf numFmtId="6" fontId="9" fillId="3" borderId="21" xfId="1" applyNumberFormat="1" applyFont="1" applyFill="1" applyBorder="1" applyAlignment="1">
      <alignment horizontal="center" vertical="top" wrapText="1"/>
    </xf>
    <xf numFmtId="0" fontId="13" fillId="0" borderId="42" xfId="1" applyFont="1" applyBorder="1" applyAlignment="1">
      <alignment horizontal="left" vertical="top" wrapText="1" indent="4"/>
    </xf>
    <xf numFmtId="172" fontId="10" fillId="12" borderId="33" xfId="6" applyNumberFormat="1" applyFont="1" applyFill="1" applyBorder="1" applyAlignment="1">
      <alignment vertical="top" wrapText="1"/>
    </xf>
    <xf numFmtId="1" fontId="9" fillId="0" borderId="33" xfId="1" applyNumberFormat="1" applyFont="1" applyBorder="1" applyAlignment="1">
      <alignment horizontal="left" vertical="top" wrapText="1"/>
    </xf>
    <xf numFmtId="172" fontId="10" fillId="3" borderId="33" xfId="6" applyNumberFormat="1" applyFont="1" applyFill="1" applyBorder="1" applyAlignment="1">
      <alignment vertical="top" wrapText="1"/>
    </xf>
    <xf numFmtId="6" fontId="9" fillId="3" borderId="33" xfId="1" applyNumberFormat="1" applyFont="1" applyFill="1" applyBorder="1" applyAlignment="1">
      <alignment horizontal="center" vertical="top" wrapText="1"/>
    </xf>
    <xf numFmtId="165" fontId="11" fillId="10" borderId="10" xfId="1" applyNumberFormat="1" applyFont="1" applyFill="1" applyBorder="1" applyAlignment="1">
      <alignment horizontal="center" vertical="top" wrapText="1"/>
    </xf>
    <xf numFmtId="165" fontId="11" fillId="10" borderId="11" xfId="1" applyNumberFormat="1" applyFont="1" applyFill="1" applyBorder="1" applyAlignment="1">
      <alignment horizontal="center" vertical="top" wrapText="1"/>
    </xf>
    <xf numFmtId="172" fontId="10" fillId="0" borderId="16" xfId="6" applyNumberFormat="1" applyFont="1" applyFill="1" applyBorder="1" applyAlignment="1">
      <alignment vertical="top" wrapText="1"/>
    </xf>
    <xf numFmtId="172" fontId="10" fillId="0" borderId="16" xfId="6" applyNumberFormat="1" applyFont="1" applyFill="1" applyBorder="1" applyAlignment="1">
      <alignment horizontal="center" vertical="top" wrapText="1"/>
    </xf>
    <xf numFmtId="172" fontId="10" fillId="0" borderId="21" xfId="6" applyNumberFormat="1" applyFont="1" applyFill="1" applyBorder="1" applyAlignment="1">
      <alignment horizontal="center" vertical="top" wrapText="1"/>
    </xf>
    <xf numFmtId="172" fontId="10" fillId="0" borderId="63" xfId="6" applyNumberFormat="1" applyFont="1" applyFill="1" applyBorder="1" applyAlignment="1">
      <alignment vertical="top" wrapText="1"/>
    </xf>
    <xf numFmtId="172" fontId="9" fillId="0" borderId="21" xfId="6" applyNumberFormat="1" applyFont="1" applyFill="1" applyBorder="1" applyAlignment="1">
      <alignment horizontal="left" vertical="top" wrapText="1"/>
    </xf>
    <xf numFmtId="171" fontId="15" fillId="0" borderId="21" xfId="6" applyFont="1" applyFill="1" applyBorder="1" applyAlignment="1">
      <alignment vertical="top" wrapText="1"/>
    </xf>
    <xf numFmtId="6" fontId="9" fillId="0" borderId="21" xfId="1" applyNumberFormat="1" applyFont="1" applyBorder="1" applyAlignment="1">
      <alignment horizontal="center" vertical="top" wrapText="1"/>
    </xf>
    <xf numFmtId="172" fontId="10" fillId="0" borderId="33" xfId="6" applyNumberFormat="1" applyFont="1" applyFill="1" applyBorder="1" applyAlignment="1">
      <alignment vertical="top" wrapText="1"/>
    </xf>
    <xf numFmtId="6" fontId="9" fillId="0" borderId="33" xfId="1" applyNumberFormat="1" applyFont="1" applyBorder="1" applyAlignment="1">
      <alignment horizontal="center" vertical="top" wrapText="1"/>
    </xf>
    <xf numFmtId="0" fontId="9" fillId="16" borderId="0" xfId="1" applyFont="1" applyFill="1"/>
    <xf numFmtId="0" fontId="11" fillId="10" borderId="0" xfId="1" applyFont="1" applyFill="1" applyAlignment="1">
      <alignment horizontal="left" vertical="top" wrapText="1"/>
    </xf>
    <xf numFmtId="165" fontId="11" fillId="10" borderId="5" xfId="1" applyNumberFormat="1" applyFont="1" applyFill="1" applyBorder="1" applyAlignment="1">
      <alignment horizontal="center" vertical="top" wrapText="1"/>
    </xf>
    <xf numFmtId="1" fontId="9" fillId="3" borderId="16" xfId="1" applyNumberFormat="1" applyFont="1" applyFill="1" applyBorder="1" applyAlignment="1">
      <alignment horizontal="center" vertical="top" wrapText="1"/>
    </xf>
    <xf numFmtId="172" fontId="16" fillId="17" borderId="63" xfId="6" applyNumberFormat="1" applyFont="1" applyFill="1" applyBorder="1" applyAlignment="1">
      <alignment horizontal="center" vertical="top" wrapText="1"/>
    </xf>
    <xf numFmtId="172" fontId="16" fillId="18" borderId="63" xfId="6" applyNumberFormat="1" applyFont="1" applyFill="1" applyBorder="1" applyAlignment="1">
      <alignment horizontal="center" vertical="top" wrapText="1"/>
    </xf>
    <xf numFmtId="172" fontId="16" fillId="0" borderId="63" xfId="6" applyNumberFormat="1" applyFont="1" applyFill="1" applyBorder="1" applyAlignment="1">
      <alignment horizontal="center" vertical="top" wrapText="1"/>
    </xf>
    <xf numFmtId="1" fontId="9" fillId="3" borderId="21" xfId="1" applyNumberFormat="1" applyFont="1" applyFill="1" applyBorder="1" applyAlignment="1">
      <alignment horizontal="center" vertical="top" wrapText="1"/>
    </xf>
    <xf numFmtId="172" fontId="10" fillId="3" borderId="21" xfId="6" applyNumberFormat="1" applyFont="1" applyFill="1" applyBorder="1" applyAlignment="1">
      <alignment horizontal="center" vertical="top" wrapText="1"/>
    </xf>
    <xf numFmtId="172" fontId="10" fillId="14" borderId="21" xfId="6" applyNumberFormat="1" applyFont="1" applyFill="1" applyBorder="1" applyAlignment="1">
      <alignment horizontal="center" vertical="top" wrapText="1"/>
    </xf>
    <xf numFmtId="1" fontId="9" fillId="12" borderId="21" xfId="1" applyNumberFormat="1" applyFont="1" applyFill="1" applyBorder="1" applyAlignment="1">
      <alignment horizontal="center" vertical="top" wrapText="1"/>
    </xf>
    <xf numFmtId="2" fontId="15" fillId="0" borderId="21" xfId="6" applyNumberFormat="1" applyFont="1" applyFill="1" applyBorder="1" applyAlignment="1">
      <alignment horizontal="center" vertical="top" wrapText="1"/>
    </xf>
    <xf numFmtId="1" fontId="9" fillId="12" borderId="33" xfId="1" applyNumberFormat="1" applyFont="1" applyFill="1" applyBorder="1" applyAlignment="1">
      <alignment horizontal="center" vertical="top" wrapText="1"/>
    </xf>
    <xf numFmtId="172" fontId="10" fillId="0" borderId="33" xfId="6" applyNumberFormat="1" applyFont="1" applyFill="1" applyBorder="1" applyAlignment="1">
      <alignment horizontal="center" vertical="top" wrapText="1"/>
    </xf>
    <xf numFmtId="172" fontId="10" fillId="14" borderId="33" xfId="6" applyNumberFormat="1" applyFont="1" applyFill="1" applyBorder="1" applyAlignment="1">
      <alignment horizontal="center" vertical="top" wrapText="1"/>
    </xf>
    <xf numFmtId="172" fontId="17" fillId="0" borderId="0" xfId="6" applyNumberFormat="1" applyFont="1" applyFill="1" applyBorder="1" applyAlignment="1">
      <alignment horizontal="left" vertical="top" wrapText="1"/>
    </xf>
    <xf numFmtId="1" fontId="9" fillId="0" borderId="21" xfId="1" applyNumberFormat="1" applyFont="1" applyBorder="1" applyAlignment="1">
      <alignment horizontal="center" vertical="top" wrapText="1"/>
    </xf>
    <xf numFmtId="0" fontId="10" fillId="3" borderId="24" xfId="1" applyFont="1" applyFill="1" applyBorder="1" applyAlignment="1">
      <alignment horizontal="left" vertical="top" wrapText="1"/>
    </xf>
    <xf numFmtId="3" fontId="10" fillId="14" borderId="16" xfId="1" applyNumberFormat="1" applyFont="1" applyFill="1" applyBorder="1" applyAlignment="1">
      <alignment horizontal="center" vertical="top" wrapText="1"/>
    </xf>
    <xf numFmtId="169" fontId="10" fillId="12" borderId="16" xfId="5" applyFont="1" applyFill="1" applyBorder="1" applyAlignment="1">
      <alignment horizontal="center" vertical="top" wrapText="1"/>
    </xf>
    <xf numFmtId="3" fontId="9" fillId="0" borderId="16" xfId="1" applyNumberFormat="1" applyFont="1" applyBorder="1" applyAlignment="1">
      <alignment horizontal="left" vertical="top" wrapText="1"/>
    </xf>
    <xf numFmtId="0" fontId="9" fillId="0" borderId="0" xfId="1" applyFont="1" applyAlignment="1">
      <alignment horizontal="left"/>
    </xf>
    <xf numFmtId="0" fontId="9" fillId="0" borderId="0" xfId="1" applyFont="1" applyAlignment="1">
      <alignment horizontal="center"/>
    </xf>
    <xf numFmtId="0" fontId="9" fillId="0" borderId="0" xfId="1" applyFont="1" applyAlignment="1">
      <alignment horizontal="center" wrapText="1"/>
    </xf>
    <xf numFmtId="3" fontId="10" fillId="3" borderId="16" xfId="1" applyNumberFormat="1" applyFont="1" applyFill="1" applyBorder="1" applyAlignment="1">
      <alignment horizontal="center" vertical="top" wrapText="1"/>
    </xf>
    <xf numFmtId="0" fontId="10" fillId="3" borderId="46" xfId="1" applyFont="1" applyFill="1" applyBorder="1" applyAlignment="1">
      <alignment horizontal="left" vertical="top" wrapText="1"/>
    </xf>
    <xf numFmtId="6" fontId="10" fillId="12" borderId="22" xfId="1" applyNumberFormat="1" applyFont="1" applyFill="1" applyBorder="1" applyAlignment="1">
      <alignment horizontal="center" vertical="top" wrapText="1"/>
    </xf>
    <xf numFmtId="3" fontId="10" fillId="3" borderId="22" xfId="1" applyNumberFormat="1" applyFont="1" applyFill="1" applyBorder="1" applyAlignment="1">
      <alignment horizontal="center" vertical="top" wrapText="1"/>
    </xf>
    <xf numFmtId="0" fontId="10" fillId="13" borderId="1" xfId="1" applyFont="1" applyFill="1" applyBorder="1" applyAlignment="1">
      <alignment horizontal="left" vertical="top" wrapText="1"/>
    </xf>
    <xf numFmtId="9" fontId="9" fillId="7" borderId="12" xfId="1" applyNumberFormat="1" applyFont="1" applyFill="1" applyBorder="1" applyAlignment="1">
      <alignment horizontal="left" vertical="top" wrapText="1"/>
    </xf>
    <xf numFmtId="0" fontId="16" fillId="0" borderId="63" xfId="1" applyFont="1" applyBorder="1" applyAlignment="1">
      <alignment horizontal="center" vertical="top" wrapText="1"/>
    </xf>
    <xf numFmtId="0" fontId="16" fillId="14" borderId="63" xfId="1" applyFont="1" applyFill="1" applyBorder="1" applyAlignment="1">
      <alignment horizontal="center" vertical="top" wrapText="1"/>
    </xf>
    <xf numFmtId="1" fontId="10" fillId="3" borderId="16" xfId="1" applyNumberFormat="1" applyFont="1" applyFill="1" applyBorder="1" applyAlignment="1">
      <alignment horizontal="center" vertical="top" wrapText="1"/>
    </xf>
    <xf numFmtId="0" fontId="9" fillId="3" borderId="42" xfId="1" applyFont="1" applyFill="1" applyBorder="1" applyAlignment="1">
      <alignment horizontal="left" vertical="top" wrapText="1" indent="2"/>
    </xf>
    <xf numFmtId="1" fontId="9" fillId="3" borderId="33" xfId="1" applyNumberFormat="1" applyFont="1" applyFill="1" applyBorder="1" applyAlignment="1">
      <alignment horizontal="center" vertical="top" wrapText="1"/>
    </xf>
    <xf numFmtId="1" fontId="9" fillId="0" borderId="33" xfId="1" applyNumberFormat="1" applyFont="1" applyBorder="1" applyAlignment="1">
      <alignment horizontal="center" vertical="top" wrapText="1"/>
    </xf>
    <xf numFmtId="1" fontId="9" fillId="14" borderId="33" xfId="1" applyNumberFormat="1" applyFont="1" applyFill="1" applyBorder="1" applyAlignment="1">
      <alignment horizontal="center" vertical="top" wrapText="1"/>
    </xf>
    <xf numFmtId="1" fontId="10" fillId="12" borderId="22" xfId="1" applyNumberFormat="1" applyFont="1" applyFill="1" applyBorder="1" applyAlignment="1">
      <alignment horizontal="center" vertical="top" wrapText="1"/>
    </xf>
    <xf numFmtId="1" fontId="10" fillId="0" borderId="22" xfId="1" applyNumberFormat="1" applyFont="1" applyBorder="1" applyAlignment="1">
      <alignment horizontal="center" vertical="top" wrapText="1"/>
    </xf>
    <xf numFmtId="1" fontId="9" fillId="0" borderId="22" xfId="1" applyNumberFormat="1" applyFont="1" applyBorder="1" applyAlignment="1">
      <alignment horizontal="left" vertical="top" wrapText="1"/>
    </xf>
    <xf numFmtId="1" fontId="10" fillId="3" borderId="22" xfId="1" applyNumberFormat="1" applyFont="1" applyFill="1" applyBorder="1" applyAlignment="1">
      <alignment horizontal="center" vertical="top" wrapText="1"/>
    </xf>
    <xf numFmtId="1" fontId="10" fillId="0" borderId="33" xfId="1" applyNumberFormat="1" applyFont="1" applyBorder="1" applyAlignment="1">
      <alignment horizontal="center" vertical="top" wrapText="1"/>
    </xf>
    <xf numFmtId="0" fontId="10" fillId="3" borderId="64" xfId="1" applyFont="1" applyFill="1" applyBorder="1" applyAlignment="1">
      <alignment horizontal="left" vertical="top" wrapText="1"/>
    </xf>
    <xf numFmtId="169" fontId="10" fillId="12" borderId="65" xfId="5" applyFont="1" applyFill="1" applyBorder="1" applyAlignment="1">
      <alignment horizontal="center" vertical="top" wrapText="1"/>
    </xf>
    <xf numFmtId="3" fontId="10" fillId="0" borderId="65" xfId="1" applyNumberFormat="1" applyFont="1" applyBorder="1" applyAlignment="1">
      <alignment horizontal="center" vertical="top" wrapText="1"/>
    </xf>
    <xf numFmtId="3" fontId="9" fillId="3" borderId="65" xfId="1" applyNumberFormat="1" applyFont="1" applyFill="1" applyBorder="1" applyAlignment="1">
      <alignment horizontal="center" vertical="top" wrapText="1"/>
    </xf>
    <xf numFmtId="3" fontId="10" fillId="3" borderId="65" xfId="1" applyNumberFormat="1" applyFont="1" applyFill="1" applyBorder="1" applyAlignment="1">
      <alignment horizontal="center" vertical="top" wrapText="1"/>
    </xf>
    <xf numFmtId="6" fontId="10" fillId="12" borderId="65" xfId="1" applyNumberFormat="1" applyFont="1" applyFill="1" applyBorder="1" applyAlignment="1">
      <alignment horizontal="center" vertical="top" wrapText="1"/>
    </xf>
    <xf numFmtId="3" fontId="9" fillId="0" borderId="65" xfId="1" applyNumberFormat="1" applyFont="1" applyBorder="1" applyAlignment="1">
      <alignment horizontal="left" vertical="top" wrapText="1"/>
    </xf>
    <xf numFmtId="1" fontId="16" fillId="0" borderId="63" xfId="1" applyNumberFormat="1" applyFont="1" applyBorder="1" applyAlignment="1">
      <alignment horizontal="center" vertical="top" wrapText="1"/>
    </xf>
    <xf numFmtId="1" fontId="16" fillId="14" borderId="63" xfId="1" applyNumberFormat="1" applyFont="1" applyFill="1" applyBorder="1" applyAlignment="1">
      <alignment horizontal="center" vertical="top" wrapText="1"/>
    </xf>
    <xf numFmtId="1" fontId="10" fillId="3" borderId="33" xfId="1" applyNumberFormat="1" applyFont="1" applyFill="1" applyBorder="1" applyAlignment="1">
      <alignment horizontal="center" vertical="top" wrapText="1"/>
    </xf>
    <xf numFmtId="1" fontId="10" fillId="14" borderId="33" xfId="1" applyNumberFormat="1" applyFont="1" applyFill="1" applyBorder="1" applyAlignment="1">
      <alignment horizontal="center" vertical="top" wrapText="1"/>
    </xf>
    <xf numFmtId="1" fontId="9" fillId="3" borderId="22" xfId="1" applyNumberFormat="1" applyFont="1" applyFill="1" applyBorder="1" applyAlignment="1">
      <alignment horizontal="left" vertical="top" wrapText="1"/>
    </xf>
    <xf numFmtId="0" fontId="10" fillId="15" borderId="1" xfId="1" applyFont="1" applyFill="1" applyBorder="1" applyAlignment="1">
      <alignment vertical="top" wrapText="1"/>
    </xf>
    <xf numFmtId="6" fontId="10" fillId="15" borderId="1" xfId="1" applyNumberFormat="1" applyFont="1" applyFill="1" applyBorder="1" applyAlignment="1">
      <alignment horizontal="left" vertical="top" wrapText="1"/>
    </xf>
    <xf numFmtId="0" fontId="10" fillId="15" borderId="2" xfId="1" applyFont="1" applyFill="1" applyBorder="1" applyAlignment="1">
      <alignment horizontal="left" vertical="top" wrapText="1"/>
    </xf>
    <xf numFmtId="0" fontId="10" fillId="0" borderId="0" xfId="1" applyFont="1" applyAlignment="1">
      <alignment horizontal="center" vertical="top" wrapText="1"/>
    </xf>
    <xf numFmtId="0" fontId="9" fillId="19" borderId="0" xfId="1" applyFont="1" applyFill="1" applyAlignment="1">
      <alignment horizontal="center"/>
    </xf>
    <xf numFmtId="3" fontId="8" fillId="0" borderId="0" xfId="3" applyNumberFormat="1" applyFont="1" applyAlignment="1">
      <alignment horizontal="left" vertical="center" wrapText="1"/>
    </xf>
    <xf numFmtId="0" fontId="1" fillId="0" borderId="0" xfId="1" applyAlignment="1">
      <alignment vertical="center"/>
    </xf>
    <xf numFmtId="0" fontId="3" fillId="10" borderId="6" xfId="1" applyFont="1" applyFill="1" applyBorder="1" applyAlignment="1">
      <alignment horizontal="left" vertical="center" wrapText="1"/>
    </xf>
    <xf numFmtId="0" fontId="3" fillId="10" borderId="25" xfId="1" applyFont="1" applyFill="1" applyBorder="1" applyAlignment="1">
      <alignment horizontal="center" vertical="center" wrapText="1"/>
    </xf>
    <xf numFmtId="165" fontId="3" fillId="10" borderId="25" xfId="1" applyNumberFormat="1" applyFont="1" applyFill="1" applyBorder="1" applyAlignment="1">
      <alignment horizontal="center" vertical="center" wrapText="1"/>
    </xf>
    <xf numFmtId="165" fontId="3" fillId="10" borderId="60" xfId="1" applyNumberFormat="1" applyFont="1" applyFill="1" applyBorder="1" applyAlignment="1">
      <alignment horizontal="center" vertical="center" wrapText="1"/>
    </xf>
    <xf numFmtId="165" fontId="3" fillId="10" borderId="6" xfId="1" applyNumberFormat="1" applyFont="1" applyFill="1" applyBorder="1" applyAlignment="1">
      <alignment horizontal="center" vertical="center" wrapText="1"/>
    </xf>
    <xf numFmtId="3" fontId="5" fillId="0" borderId="6" xfId="1" applyNumberFormat="1" applyFont="1" applyBorder="1" applyAlignment="1">
      <alignment horizontal="center" vertical="center" wrapText="1"/>
    </xf>
    <xf numFmtId="3" fontId="20" fillId="0" borderId="57" xfId="1" applyNumberFormat="1" applyFont="1" applyBorder="1" applyAlignment="1">
      <alignment horizontal="center" vertical="center" wrapText="1"/>
    </xf>
    <xf numFmtId="174" fontId="21" fillId="0" borderId="0" xfId="2" applyNumberFormat="1" applyFont="1" applyAlignment="1">
      <alignment vertical="center"/>
    </xf>
    <xf numFmtId="174" fontId="21" fillId="0" borderId="0" xfId="2" applyNumberFormat="1" applyFont="1" applyFill="1" applyBorder="1" applyAlignment="1">
      <alignment vertical="center"/>
    </xf>
    <xf numFmtId="0" fontId="1" fillId="0" borderId="24" xfId="1" applyBorder="1" applyAlignment="1">
      <alignment horizontal="left" vertical="center" wrapText="1" indent="2"/>
    </xf>
    <xf numFmtId="3" fontId="1" fillId="0" borderId="30" xfId="1" applyNumberFormat="1" applyBorder="1" applyAlignment="1">
      <alignment horizontal="center" vertical="center" wrapText="1"/>
    </xf>
    <xf numFmtId="3" fontId="1" fillId="12" borderId="39" xfId="1" applyNumberFormat="1" applyFill="1" applyBorder="1" applyAlignment="1">
      <alignment horizontal="center" vertical="center" wrapText="1"/>
    </xf>
    <xf numFmtId="0" fontId="22" fillId="0" borderId="20" xfId="1" applyFont="1" applyBorder="1" applyAlignment="1">
      <alignment horizontal="left" vertical="center" wrapText="1" indent="4"/>
    </xf>
    <xf numFmtId="3" fontId="22" fillId="0" borderId="45" xfId="1" applyNumberFormat="1" applyFont="1" applyBorder="1" applyAlignment="1">
      <alignment horizontal="center" vertical="center" wrapText="1"/>
    </xf>
    <xf numFmtId="3" fontId="22" fillId="0" borderId="21" xfId="1" applyNumberFormat="1" applyFont="1" applyBorder="1" applyAlignment="1">
      <alignment horizontal="center" vertical="center" wrapText="1"/>
    </xf>
    <xf numFmtId="3" fontId="22" fillId="0" borderId="0" xfId="1" applyNumberFormat="1" applyFont="1" applyAlignment="1">
      <alignment horizontal="center" vertical="center" wrapText="1"/>
    </xf>
    <xf numFmtId="0" fontId="6" fillId="0" borderId="0" xfId="1" applyFont="1" applyAlignment="1">
      <alignment vertical="center"/>
    </xf>
    <xf numFmtId="174" fontId="23" fillId="0" borderId="0" xfId="2" applyNumberFormat="1" applyFont="1" applyAlignment="1">
      <alignment vertical="center"/>
    </xf>
    <xf numFmtId="174" fontId="23" fillId="0" borderId="0" xfId="2" applyNumberFormat="1" applyFont="1" applyFill="1" applyBorder="1" applyAlignment="1">
      <alignment vertical="center"/>
    </xf>
    <xf numFmtId="0" fontId="1" fillId="0" borderId="20" xfId="1" applyBorder="1" applyAlignment="1">
      <alignment horizontal="left" vertical="center" wrapText="1" indent="2"/>
    </xf>
    <xf numFmtId="3" fontId="1" fillId="12" borderId="45" xfId="1" applyNumberFormat="1" applyFill="1" applyBorder="1" applyAlignment="1">
      <alignment horizontal="center" vertical="center" wrapText="1"/>
    </xf>
    <xf numFmtId="3" fontId="1" fillId="0" borderId="21" xfId="1" applyNumberFormat="1" applyBorder="1" applyAlignment="1">
      <alignment horizontal="center" vertical="center" wrapText="1"/>
    </xf>
    <xf numFmtId="3" fontId="1" fillId="0" borderId="0" xfId="1" applyNumberFormat="1" applyAlignment="1">
      <alignment horizontal="center" vertical="center" wrapText="1"/>
    </xf>
    <xf numFmtId="3" fontId="22" fillId="12" borderId="45" xfId="1" applyNumberFormat="1" applyFont="1" applyFill="1" applyBorder="1" applyAlignment="1">
      <alignment horizontal="center" vertical="center" wrapText="1"/>
    </xf>
    <xf numFmtId="3" fontId="1" fillId="0" borderId="27" xfId="1" applyNumberFormat="1" applyBorder="1" applyAlignment="1">
      <alignment horizontal="center" vertical="center" wrapText="1"/>
    </xf>
    <xf numFmtId="3" fontId="1" fillId="0" borderId="39" xfId="1" applyNumberFormat="1" applyBorder="1" applyAlignment="1">
      <alignment horizontal="center" vertical="center" wrapText="1"/>
    </xf>
    <xf numFmtId="0" fontId="22" fillId="0" borderId="42" xfId="1" applyFont="1" applyBorder="1" applyAlignment="1">
      <alignment horizontal="left" vertical="center" wrapText="1" indent="4"/>
    </xf>
    <xf numFmtId="3" fontId="22" fillId="12" borderId="32" xfId="1" applyNumberFormat="1" applyFont="1" applyFill="1" applyBorder="1" applyAlignment="1">
      <alignment horizontal="center" vertical="center" wrapText="1"/>
    </xf>
    <xf numFmtId="3" fontId="22" fillId="0" borderId="33" xfId="1" applyNumberFormat="1" applyFont="1" applyBorder="1" applyAlignment="1">
      <alignment horizontal="center" vertical="center" wrapText="1"/>
    </xf>
    <xf numFmtId="3" fontId="22" fillId="0" borderId="34" xfId="1" applyNumberFormat="1" applyFont="1" applyBorder="1" applyAlignment="1">
      <alignment horizontal="center" vertical="center" wrapText="1"/>
    </xf>
    <xf numFmtId="3" fontId="22" fillId="0" borderId="39" xfId="1" applyNumberFormat="1" applyFont="1" applyBorder="1" applyAlignment="1">
      <alignment horizontal="center" vertical="center" wrapText="1"/>
    </xf>
    <xf numFmtId="3" fontId="5" fillId="0" borderId="39" xfId="1" applyNumberFormat="1" applyFont="1" applyBorder="1" applyAlignment="1">
      <alignment horizontal="center" vertical="center" wrapText="1"/>
    </xf>
    <xf numFmtId="3" fontId="22" fillId="12" borderId="39" xfId="1" applyNumberFormat="1" applyFont="1" applyFill="1" applyBorder="1" applyAlignment="1">
      <alignment horizontal="center" vertical="center" wrapText="1"/>
    </xf>
    <xf numFmtId="3" fontId="5" fillId="0" borderId="0" xfId="1" applyNumberFormat="1" applyFont="1" applyAlignment="1">
      <alignment horizontal="center" vertical="center" wrapText="1"/>
    </xf>
    <xf numFmtId="3" fontId="1" fillId="3" borderId="30" xfId="1" applyNumberFormat="1" applyFill="1" applyBorder="1" applyAlignment="1">
      <alignment horizontal="center" vertical="center" wrapText="1"/>
    </xf>
    <xf numFmtId="3" fontId="1" fillId="0" borderId="16" xfId="1" applyNumberFormat="1" applyBorder="1" applyAlignment="1">
      <alignment horizontal="center" vertical="center" wrapText="1"/>
    </xf>
    <xf numFmtId="3" fontId="22" fillId="3" borderId="45" xfId="1" applyNumberFormat="1" applyFont="1" applyFill="1" applyBorder="1" applyAlignment="1">
      <alignment horizontal="center" vertical="center" wrapText="1"/>
    </xf>
    <xf numFmtId="0" fontId="1" fillId="0" borderId="15" xfId="1" applyBorder="1" applyAlignment="1">
      <alignment horizontal="left" vertical="center" wrapText="1" indent="2"/>
    </xf>
    <xf numFmtId="3" fontId="1" fillId="3" borderId="16" xfId="1" applyNumberFormat="1" applyFill="1" applyBorder="1" applyAlignment="1">
      <alignment horizontal="center" vertical="center" wrapText="1"/>
    </xf>
    <xf numFmtId="0" fontId="22" fillId="0" borderId="26" xfId="1" applyFont="1" applyBorder="1" applyAlignment="1">
      <alignment horizontal="left" vertical="center" wrapText="1" indent="4"/>
    </xf>
    <xf numFmtId="3" fontId="22" fillId="3" borderId="21" xfId="1" applyNumberFormat="1" applyFont="1" applyFill="1" applyBorder="1" applyAlignment="1">
      <alignment horizontal="center" vertical="center" wrapText="1"/>
    </xf>
    <xf numFmtId="0" fontId="1" fillId="0" borderId="26" xfId="1" applyBorder="1" applyAlignment="1">
      <alignment horizontal="left" vertical="center" wrapText="1" indent="2"/>
    </xf>
    <xf numFmtId="0" fontId="22" fillId="0" borderId="28" xfId="1" applyFont="1" applyBorder="1" applyAlignment="1">
      <alignment horizontal="left" vertical="center" wrapText="1" indent="4"/>
    </xf>
    <xf numFmtId="0" fontId="5" fillId="13" borderId="3" xfId="1" applyFont="1" applyFill="1" applyBorder="1" applyAlignment="1">
      <alignment horizontal="center" vertical="center" wrapText="1"/>
    </xf>
    <xf numFmtId="0" fontId="5" fillId="13" borderId="39" xfId="1" applyFont="1" applyFill="1" applyBorder="1" applyAlignment="1">
      <alignment horizontal="center" vertical="center" wrapText="1"/>
    </xf>
    <xf numFmtId="174" fontId="1" fillId="0" borderId="0" xfId="2" applyNumberFormat="1" applyFont="1" applyAlignment="1">
      <alignment vertical="center"/>
    </xf>
    <xf numFmtId="0" fontId="1" fillId="0" borderId="9" xfId="1" applyBorder="1" applyAlignment="1">
      <alignment horizontal="center" vertical="center" wrapText="1"/>
    </xf>
    <xf numFmtId="0" fontId="1" fillId="0" borderId="13" xfId="1" applyBorder="1" applyAlignment="1">
      <alignment horizontal="center" vertical="center" wrapText="1"/>
    </xf>
    <xf numFmtId="0" fontId="3" fillId="10" borderId="37" xfId="1" applyFont="1" applyFill="1" applyBorder="1" applyAlignment="1">
      <alignment horizontal="left" vertical="center" wrapText="1"/>
    </xf>
    <xf numFmtId="0" fontId="3" fillId="10" borderId="65" xfId="1" applyFont="1" applyFill="1" applyBorder="1" applyAlignment="1">
      <alignment horizontal="center" vertical="center" wrapText="1"/>
    </xf>
    <xf numFmtId="165" fontId="3" fillId="10" borderId="52" xfId="1" applyNumberFormat="1" applyFont="1" applyFill="1" applyBorder="1" applyAlignment="1">
      <alignment horizontal="center" vertical="center" wrapText="1"/>
    </xf>
    <xf numFmtId="165" fontId="3" fillId="10" borderId="69" xfId="1" applyNumberFormat="1" applyFont="1" applyFill="1" applyBorder="1" applyAlignment="1">
      <alignment horizontal="center" vertical="center" wrapText="1"/>
    </xf>
    <xf numFmtId="165" fontId="3" fillId="10" borderId="0" xfId="1" applyNumberFormat="1" applyFont="1" applyFill="1" applyAlignment="1">
      <alignment horizontal="center" vertical="center" wrapText="1"/>
    </xf>
    <xf numFmtId="17" fontId="1" fillId="0" borderId="0" xfId="1" applyNumberFormat="1" applyAlignment="1">
      <alignment vertical="center"/>
    </xf>
    <xf numFmtId="3" fontId="1" fillId="12" borderId="0" xfId="1" applyNumberFormat="1" applyFill="1" applyAlignment="1">
      <alignment horizontal="center" vertical="center" wrapText="1"/>
    </xf>
    <xf numFmtId="3" fontId="22" fillId="12" borderId="0" xfId="1" applyNumberFormat="1" applyFont="1" applyFill="1" applyAlignment="1">
      <alignment horizontal="center" vertical="center" wrapText="1"/>
    </xf>
    <xf numFmtId="3" fontId="1" fillId="12" borderId="21" xfId="1" applyNumberFormat="1" applyFill="1" applyBorder="1" applyAlignment="1">
      <alignment horizontal="center" vertical="center" wrapText="1"/>
    </xf>
    <xf numFmtId="168" fontId="6" fillId="12" borderId="16" xfId="4" applyNumberFormat="1" applyFont="1" applyFill="1" applyBorder="1" applyAlignment="1">
      <alignment horizontal="center" vertical="center" wrapText="1"/>
    </xf>
    <xf numFmtId="168" fontId="22" fillId="12" borderId="21" xfId="4" applyNumberFormat="1" applyFont="1" applyFill="1" applyBorder="1" applyAlignment="1">
      <alignment horizontal="center" vertical="center" wrapText="1"/>
    </xf>
    <xf numFmtId="168" fontId="6" fillId="12" borderId="21" xfId="4" applyNumberFormat="1" applyFont="1" applyFill="1" applyBorder="1" applyAlignment="1">
      <alignment horizontal="center" vertical="center" wrapText="1"/>
    </xf>
    <xf numFmtId="0" fontId="5" fillId="13" borderId="9" xfId="1" applyFont="1" applyFill="1" applyBorder="1" applyAlignment="1">
      <alignment horizontal="center" vertical="center" wrapText="1"/>
    </xf>
    <xf numFmtId="3" fontId="5" fillId="0" borderId="12" xfId="1" applyNumberFormat="1" applyFont="1" applyBorder="1" applyAlignment="1">
      <alignment vertical="center" wrapText="1"/>
    </xf>
    <xf numFmtId="0" fontId="1" fillId="0" borderId="1" xfId="1" applyBorder="1" applyAlignment="1">
      <alignment horizontal="center" vertical="center" wrapText="1"/>
    </xf>
    <xf numFmtId="0" fontId="3" fillId="10" borderId="9" xfId="1" applyFont="1" applyFill="1" applyBorder="1" applyAlignment="1">
      <alignment horizontal="left" vertical="center" wrapText="1"/>
    </xf>
    <xf numFmtId="0" fontId="3" fillId="10" borderId="10" xfId="1" applyFont="1" applyFill="1" applyBorder="1" applyAlignment="1">
      <alignment horizontal="center" vertical="center" wrapText="1"/>
    </xf>
    <xf numFmtId="168" fontId="5" fillId="3" borderId="6" xfId="4" applyNumberFormat="1" applyFont="1" applyFill="1" applyBorder="1" applyAlignment="1">
      <alignment horizontal="center" vertical="center" wrapText="1"/>
    </xf>
    <xf numFmtId="168" fontId="5" fillId="3" borderId="9" xfId="4" applyNumberFormat="1" applyFont="1" applyFill="1" applyBorder="1" applyAlignment="1">
      <alignment horizontal="center" vertical="center" wrapText="1"/>
    </xf>
    <xf numFmtId="0" fontId="5" fillId="13" borderId="1" xfId="1" applyFont="1" applyFill="1" applyBorder="1" applyAlignment="1">
      <alignment horizontal="center" vertical="center" wrapText="1"/>
    </xf>
    <xf numFmtId="0" fontId="5" fillId="3" borderId="0" xfId="1" applyFont="1" applyFill="1" applyAlignment="1">
      <alignment horizontal="left" vertical="center" wrapText="1"/>
    </xf>
    <xf numFmtId="0" fontId="5" fillId="3" borderId="0" xfId="1" applyFont="1" applyFill="1" applyAlignment="1">
      <alignment horizontal="center" vertical="center" wrapText="1"/>
    </xf>
    <xf numFmtId="0" fontId="3" fillId="10" borderId="2" xfId="1" applyFont="1" applyFill="1" applyBorder="1" applyAlignment="1">
      <alignment horizontal="left" vertical="center" wrapText="1"/>
    </xf>
    <xf numFmtId="165" fontId="3" fillId="10" borderId="10" xfId="1" applyNumberFormat="1" applyFont="1" applyFill="1" applyBorder="1" applyAlignment="1">
      <alignment horizontal="center" vertical="center" wrapText="1"/>
    </xf>
    <xf numFmtId="165" fontId="3" fillId="10" borderId="66" xfId="1" applyNumberFormat="1" applyFont="1" applyFill="1" applyBorder="1" applyAlignment="1">
      <alignment horizontal="center" vertical="center" wrapText="1"/>
    </xf>
    <xf numFmtId="165" fontId="3" fillId="10" borderId="11" xfId="1" applyNumberFormat="1" applyFont="1" applyFill="1" applyBorder="1" applyAlignment="1">
      <alignment horizontal="center" vertical="center" wrapText="1"/>
    </xf>
    <xf numFmtId="165" fontId="3" fillId="10" borderId="7" xfId="1" applyNumberFormat="1" applyFont="1" applyFill="1" applyBorder="1" applyAlignment="1">
      <alignment horizontal="center" vertical="center" wrapText="1"/>
    </xf>
    <xf numFmtId="0" fontId="3" fillId="10" borderId="7" xfId="1" applyFont="1" applyFill="1" applyBorder="1" applyAlignment="1">
      <alignment horizontal="center" vertical="center" wrapText="1"/>
    </xf>
    <xf numFmtId="0" fontId="5" fillId="0" borderId="0" xfId="1" applyFont="1" applyAlignment="1">
      <alignment vertical="center"/>
    </xf>
    <xf numFmtId="167" fontId="5" fillId="0" borderId="6" xfId="1" applyNumberFormat="1" applyFont="1" applyBorder="1" applyAlignment="1">
      <alignment horizontal="center" vertical="center" wrapText="1"/>
    </xf>
    <xf numFmtId="167" fontId="5" fillId="0" borderId="14" xfId="1" applyNumberFormat="1" applyFont="1" applyBorder="1" applyAlignment="1">
      <alignment horizontal="center" vertical="center" wrapText="1"/>
    </xf>
    <xf numFmtId="0" fontId="1" fillId="3" borderId="24" xfId="1" applyFill="1" applyBorder="1" applyAlignment="1">
      <alignment horizontal="left" vertical="center" wrapText="1" indent="2"/>
    </xf>
    <xf numFmtId="167" fontId="1" fillId="3" borderId="30" xfId="1" applyNumberFormat="1" applyFill="1" applyBorder="1" applyAlignment="1">
      <alignment horizontal="center" vertical="center" wrapText="1"/>
    </xf>
    <xf numFmtId="167" fontId="1" fillId="3" borderId="16" xfId="1" applyNumberFormat="1" applyFill="1" applyBorder="1" applyAlignment="1">
      <alignment horizontal="center" vertical="center" wrapText="1"/>
    </xf>
    <xf numFmtId="167" fontId="1" fillId="12" borderId="6" xfId="1" applyNumberFormat="1" applyFill="1" applyBorder="1" applyAlignment="1">
      <alignment horizontal="center" vertical="center" wrapText="1"/>
    </xf>
    <xf numFmtId="0" fontId="22" fillId="3" borderId="20" xfId="1" applyFont="1" applyFill="1" applyBorder="1" applyAlignment="1">
      <alignment horizontal="left" vertical="center" wrapText="1" indent="4"/>
    </xf>
    <xf numFmtId="167" fontId="22" fillId="3" borderId="45" xfId="1" applyNumberFormat="1" applyFont="1" applyFill="1" applyBorder="1" applyAlignment="1">
      <alignment horizontal="center" vertical="center" wrapText="1"/>
    </xf>
    <xf numFmtId="167" fontId="22" fillId="3" borderId="21" xfId="1" applyNumberFormat="1" applyFont="1" applyFill="1" applyBorder="1" applyAlignment="1">
      <alignment horizontal="center" vertical="center" wrapText="1"/>
    </xf>
    <xf numFmtId="167" fontId="22" fillId="12" borderId="0" xfId="1" applyNumberFormat="1" applyFont="1" applyFill="1" applyAlignment="1">
      <alignment horizontal="center" vertical="center" wrapText="1"/>
    </xf>
    <xf numFmtId="0" fontId="1" fillId="3" borderId="20" xfId="1" applyFill="1" applyBorder="1" applyAlignment="1">
      <alignment horizontal="left" vertical="center" wrapText="1" indent="2"/>
    </xf>
    <xf numFmtId="167" fontId="1" fillId="12" borderId="45" xfId="1" applyNumberFormat="1" applyFill="1" applyBorder="1" applyAlignment="1">
      <alignment horizontal="center" vertical="center" wrapText="1"/>
    </xf>
    <xf numFmtId="167" fontId="1" fillId="3" borderId="0" xfId="1" applyNumberFormat="1" applyFill="1" applyAlignment="1">
      <alignment horizontal="center" vertical="center" wrapText="1"/>
    </xf>
    <xf numFmtId="0" fontId="22" fillId="3" borderId="48" xfId="1" applyFont="1" applyFill="1" applyBorder="1" applyAlignment="1">
      <alignment horizontal="left" vertical="center" wrapText="1" indent="4"/>
    </xf>
    <xf numFmtId="167" fontId="22" fillId="12" borderId="49" xfId="1" applyNumberFormat="1" applyFont="1" applyFill="1" applyBorder="1" applyAlignment="1">
      <alignment horizontal="center" vertical="center" wrapText="1"/>
    </xf>
    <xf numFmtId="167" fontId="22" fillId="3" borderId="0" xfId="1" applyNumberFormat="1" applyFont="1" applyFill="1" applyAlignment="1">
      <alignment horizontal="center" vertical="center" wrapText="1"/>
    </xf>
    <xf numFmtId="0" fontId="22" fillId="3" borderId="42" xfId="1" applyFont="1" applyFill="1" applyBorder="1" applyAlignment="1">
      <alignment horizontal="left" vertical="center" wrapText="1" indent="4"/>
    </xf>
    <xf numFmtId="167" fontId="22" fillId="12" borderId="32" xfId="1" applyNumberFormat="1" applyFont="1" applyFill="1" applyBorder="1" applyAlignment="1">
      <alignment horizontal="center" vertical="center" wrapText="1"/>
    </xf>
    <xf numFmtId="167" fontId="5" fillId="3" borderId="0" xfId="1" applyNumberFormat="1" applyFont="1" applyFill="1" applyAlignment="1">
      <alignment horizontal="center" vertical="center" wrapText="1"/>
    </xf>
    <xf numFmtId="167" fontId="1" fillId="8" borderId="16" xfId="1" applyNumberFormat="1" applyFill="1" applyBorder="1" applyAlignment="1">
      <alignment horizontal="center" vertical="center" wrapText="1"/>
    </xf>
    <xf numFmtId="167" fontId="1" fillId="0" borderId="16" xfId="1" applyNumberFormat="1" applyBorder="1" applyAlignment="1">
      <alignment horizontal="center" vertical="center" wrapText="1"/>
    </xf>
    <xf numFmtId="167" fontId="1" fillId="0" borderId="0" xfId="1" applyNumberFormat="1" applyAlignment="1">
      <alignment horizontal="center" vertical="center" wrapText="1"/>
    </xf>
    <xf numFmtId="167" fontId="22" fillId="8" borderId="21" xfId="1" applyNumberFormat="1" applyFont="1" applyFill="1" applyBorder="1" applyAlignment="1">
      <alignment horizontal="center" vertical="center" wrapText="1"/>
    </xf>
    <xf numFmtId="167" fontId="22" fillId="0" borderId="21" xfId="1" applyNumberFormat="1" applyFont="1" applyBorder="1" applyAlignment="1">
      <alignment horizontal="center" vertical="center" wrapText="1"/>
    </xf>
    <xf numFmtId="167" fontId="22" fillId="0" borderId="0" xfId="1" applyNumberFormat="1" applyFont="1" applyAlignment="1">
      <alignment horizontal="center" vertical="center" wrapText="1"/>
    </xf>
    <xf numFmtId="167" fontId="6" fillId="8" borderId="21" xfId="1" applyNumberFormat="1" applyFont="1" applyFill="1" applyBorder="1" applyAlignment="1">
      <alignment horizontal="center" vertical="center" wrapText="1"/>
    </xf>
    <xf numFmtId="167" fontId="1" fillId="0" borderId="21" xfId="1" applyNumberFormat="1" applyBorder="1" applyAlignment="1">
      <alignment horizontal="center" vertical="center" wrapText="1"/>
    </xf>
    <xf numFmtId="0" fontId="22" fillId="0" borderId="59" xfId="1" applyFont="1" applyBorder="1" applyAlignment="1">
      <alignment horizontal="left" vertical="center" wrapText="1" indent="4"/>
    </xf>
    <xf numFmtId="167" fontId="22" fillId="0" borderId="50" xfId="1" applyNumberFormat="1" applyFont="1" applyBorder="1" applyAlignment="1">
      <alignment horizontal="center" vertical="center" wrapText="1"/>
    </xf>
    <xf numFmtId="167" fontId="1" fillId="8" borderId="21" xfId="1" applyNumberFormat="1" applyFill="1" applyBorder="1" applyAlignment="1">
      <alignment horizontal="center" vertical="center" wrapText="1"/>
    </xf>
    <xf numFmtId="167" fontId="22" fillId="8" borderId="33" xfId="1" applyNumberFormat="1" applyFont="1" applyFill="1" applyBorder="1" applyAlignment="1">
      <alignment horizontal="center" vertical="center" wrapText="1"/>
    </xf>
    <xf numFmtId="167" fontId="22" fillId="0" borderId="33" xfId="1" applyNumberFormat="1" applyFont="1" applyBorder="1" applyAlignment="1">
      <alignment horizontal="center" vertical="center" wrapText="1"/>
    </xf>
    <xf numFmtId="0" fontId="1" fillId="0" borderId="0" xfId="1" applyAlignment="1">
      <alignment horizontal="center" vertical="center" wrapText="1"/>
    </xf>
    <xf numFmtId="0" fontId="3" fillId="10" borderId="35" xfId="1" applyFont="1" applyFill="1" applyBorder="1" applyAlignment="1">
      <alignment horizontal="left" vertical="center" wrapText="1"/>
    </xf>
    <xf numFmtId="165" fontId="3" fillId="10" borderId="56" xfId="1" applyNumberFormat="1" applyFont="1" applyFill="1" applyBorder="1" applyAlignment="1">
      <alignment horizontal="center" vertical="center" wrapText="1"/>
    </xf>
    <xf numFmtId="167" fontId="5" fillId="0" borderId="0" xfId="1" applyNumberFormat="1" applyFont="1" applyAlignment="1">
      <alignment horizontal="center" vertical="center" wrapText="1"/>
    </xf>
    <xf numFmtId="167" fontId="1" fillId="12" borderId="0" xfId="1" applyNumberFormat="1" applyFill="1" applyAlignment="1">
      <alignment horizontal="center" vertical="center" wrapText="1"/>
    </xf>
    <xf numFmtId="0" fontId="5" fillId="13" borderId="0" xfId="1" applyFont="1" applyFill="1" applyAlignment="1">
      <alignment horizontal="center" vertical="center" wrapText="1"/>
    </xf>
    <xf numFmtId="0" fontId="5" fillId="13" borderId="12" xfId="1" applyFont="1" applyFill="1" applyBorder="1" applyAlignment="1">
      <alignment horizontal="center" vertical="center" wrapText="1"/>
    </xf>
    <xf numFmtId="0" fontId="3" fillId="10" borderId="0" xfId="1" applyFont="1" applyFill="1" applyAlignment="1">
      <alignment horizontal="left" vertical="center" wrapText="1"/>
    </xf>
    <xf numFmtId="165" fontId="3" fillId="10" borderId="5" xfId="1" applyNumberFormat="1" applyFont="1" applyFill="1" applyBorder="1" applyAlignment="1">
      <alignment horizontal="center" vertical="center" wrapText="1"/>
    </xf>
    <xf numFmtId="167" fontId="5" fillId="0" borderId="39" xfId="1" applyNumberFormat="1" applyFont="1" applyBorder="1" applyAlignment="1">
      <alignment horizontal="center" vertical="center" wrapText="1"/>
    </xf>
    <xf numFmtId="167" fontId="1" fillId="12" borderId="39" xfId="1" applyNumberFormat="1" applyFill="1" applyBorder="1" applyAlignment="1">
      <alignment horizontal="center" vertical="center" wrapText="1"/>
    </xf>
    <xf numFmtId="167" fontId="22" fillId="12" borderId="39" xfId="1" applyNumberFormat="1" applyFont="1" applyFill="1" applyBorder="1" applyAlignment="1">
      <alignment horizontal="center" vertical="center" wrapText="1"/>
    </xf>
    <xf numFmtId="167" fontId="1" fillId="12" borderId="21" xfId="1" applyNumberFormat="1" applyFill="1" applyBorder="1" applyAlignment="1">
      <alignment horizontal="center" vertical="center" wrapText="1"/>
    </xf>
    <xf numFmtId="167" fontId="1" fillId="0" borderId="39" xfId="1" applyNumberFormat="1" applyBorder="1" applyAlignment="1">
      <alignment horizontal="center" vertical="center" wrapText="1"/>
    </xf>
    <xf numFmtId="167" fontId="22" fillId="12" borderId="21" xfId="1" applyNumberFormat="1" applyFont="1" applyFill="1" applyBorder="1" applyAlignment="1">
      <alignment horizontal="center" vertical="center" wrapText="1"/>
    </xf>
    <xf numFmtId="167" fontId="22" fillId="0" borderId="39" xfId="1" applyNumberFormat="1" applyFont="1" applyBorder="1" applyAlignment="1">
      <alignment horizontal="center" vertical="center" wrapText="1"/>
    </xf>
    <xf numFmtId="0" fontId="22" fillId="0" borderId="48" xfId="1" applyFont="1" applyBorder="1" applyAlignment="1">
      <alignment horizontal="left" vertical="center" wrapText="1" indent="4"/>
    </xf>
    <xf numFmtId="167" fontId="22" fillId="12" borderId="50" xfId="1" applyNumberFormat="1" applyFont="1" applyFill="1" applyBorder="1" applyAlignment="1">
      <alignment horizontal="center" vertical="center" wrapText="1"/>
    </xf>
    <xf numFmtId="167" fontId="22" fillId="12" borderId="33" xfId="1" applyNumberFormat="1" applyFont="1" applyFill="1" applyBorder="1" applyAlignment="1">
      <alignment horizontal="center" vertical="center" wrapText="1"/>
    </xf>
    <xf numFmtId="167" fontId="22" fillId="8" borderId="50" xfId="1" applyNumberFormat="1" applyFont="1" applyFill="1" applyBorder="1" applyAlignment="1">
      <alignment horizontal="center" vertical="center" wrapText="1"/>
    </xf>
    <xf numFmtId="167" fontId="5" fillId="0" borderId="12" xfId="1" applyNumberFormat="1" applyFont="1" applyBorder="1" applyAlignment="1">
      <alignment vertical="center" wrapText="1"/>
    </xf>
    <xf numFmtId="0" fontId="1" fillId="0" borderId="39" xfId="1" applyBorder="1" applyAlignment="1">
      <alignment horizontal="center" vertical="center" wrapText="1"/>
    </xf>
    <xf numFmtId="0" fontId="6" fillId="0" borderId="20" xfId="1" applyFont="1" applyBorder="1" applyAlignment="1">
      <alignment horizontal="left" vertical="center" wrapText="1" indent="2"/>
    </xf>
    <xf numFmtId="0" fontId="6" fillId="0" borderId="42" xfId="1" applyFont="1" applyBorder="1" applyAlignment="1">
      <alignment horizontal="left" vertical="center" wrapText="1" indent="2"/>
    </xf>
    <xf numFmtId="3" fontId="1" fillId="12" borderId="33" xfId="1" applyNumberFormat="1" applyFill="1" applyBorder="1" applyAlignment="1">
      <alignment horizontal="center" vertical="center" wrapText="1"/>
    </xf>
    <xf numFmtId="3" fontId="1" fillId="0" borderId="33" xfId="1" applyNumberFormat="1" applyBorder="1" applyAlignment="1">
      <alignment horizontal="center" vertical="center" wrapText="1"/>
    </xf>
    <xf numFmtId="168" fontId="6" fillId="12" borderId="33" xfId="4" applyNumberFormat="1" applyFont="1" applyFill="1" applyBorder="1" applyAlignment="1">
      <alignment horizontal="center" vertical="center" wrapText="1"/>
    </xf>
    <xf numFmtId="3" fontId="5" fillId="12" borderId="16" xfId="1" applyNumberFormat="1" applyFont="1" applyFill="1" applyBorder="1" applyAlignment="1">
      <alignment horizontal="center" vertical="center" wrapText="1"/>
    </xf>
    <xf numFmtId="0" fontId="1" fillId="0" borderId="61" xfId="1" applyBorder="1" applyAlignment="1">
      <alignment horizontal="center" vertical="center" wrapText="1"/>
    </xf>
    <xf numFmtId="0" fontId="1" fillId="0" borderId="21" xfId="1" applyBorder="1" applyAlignment="1">
      <alignment horizontal="center" vertical="center" wrapText="1"/>
    </xf>
    <xf numFmtId="0" fontId="1" fillId="0" borderId="67" xfId="1" applyBorder="1" applyAlignment="1">
      <alignment horizontal="center" vertical="center" wrapText="1"/>
    </xf>
    <xf numFmtId="165" fontId="3" fillId="10" borderId="71" xfId="1" applyNumberFormat="1" applyFont="1" applyFill="1" applyBorder="1" applyAlignment="1">
      <alignment horizontal="center" vertical="center" wrapText="1"/>
    </xf>
    <xf numFmtId="0" fontId="6" fillId="0" borderId="48" xfId="1" applyFont="1" applyBorder="1" applyAlignment="1">
      <alignment horizontal="left" vertical="center" wrapText="1" indent="2"/>
    </xf>
    <xf numFmtId="168" fontId="6" fillId="12" borderId="50" xfId="4" applyNumberFormat="1" applyFont="1" applyFill="1" applyBorder="1" applyAlignment="1">
      <alignment horizontal="center" vertical="center" wrapText="1"/>
    </xf>
    <xf numFmtId="3" fontId="1" fillId="0" borderId="50" xfId="1" applyNumberFormat="1" applyBorder="1" applyAlignment="1">
      <alignment horizontal="center" vertical="center" wrapText="1"/>
    </xf>
    <xf numFmtId="0" fontId="3" fillId="10" borderId="52" xfId="1" applyFont="1" applyFill="1" applyBorder="1" applyAlignment="1">
      <alignment horizontal="center" vertical="center" wrapText="1"/>
    </xf>
    <xf numFmtId="0" fontId="1" fillId="0" borderId="0" xfId="1" applyAlignment="1">
      <alignment horizontal="center" vertical="top" wrapText="1"/>
    </xf>
    <xf numFmtId="0" fontId="5" fillId="0" borderId="0" xfId="1" applyFont="1" applyAlignment="1">
      <alignment horizontal="center" vertical="center" wrapText="1"/>
    </xf>
    <xf numFmtId="165" fontId="3" fillId="10" borderId="39" xfId="1" applyNumberFormat="1" applyFont="1" applyFill="1" applyBorder="1" applyAlignment="1">
      <alignment horizontal="center" vertical="center" wrapText="1"/>
    </xf>
    <xf numFmtId="3" fontId="5" fillId="12" borderId="39" xfId="1" applyNumberFormat="1" applyFont="1" applyFill="1" applyBorder="1" applyAlignment="1">
      <alignment horizontal="center" vertical="center" wrapText="1"/>
    </xf>
    <xf numFmtId="0" fontId="5" fillId="3" borderId="42" xfId="1" applyFont="1" applyFill="1" applyBorder="1" applyAlignment="1">
      <alignment horizontal="left" vertical="center" wrapText="1"/>
    </xf>
    <xf numFmtId="6" fontId="5" fillId="12" borderId="33" xfId="1" applyNumberFormat="1" applyFont="1" applyFill="1" applyBorder="1" applyAlignment="1">
      <alignment horizontal="center" vertical="center" wrapText="1"/>
    </xf>
    <xf numFmtId="3" fontId="5" fillId="3" borderId="33" xfId="1" applyNumberFormat="1" applyFont="1" applyFill="1" applyBorder="1" applyAlignment="1">
      <alignment horizontal="center" vertical="center" wrapText="1"/>
    </xf>
    <xf numFmtId="3" fontId="5" fillId="12" borderId="34" xfId="1" applyNumberFormat="1" applyFont="1" applyFill="1" applyBorder="1" applyAlignment="1">
      <alignment horizontal="center" vertical="center" wrapText="1"/>
    </xf>
    <xf numFmtId="1" fontId="5" fillId="3" borderId="16" xfId="1" applyNumberFormat="1" applyFont="1" applyFill="1" applyBorder="1" applyAlignment="1">
      <alignment horizontal="center" vertical="center" wrapText="1"/>
    </xf>
    <xf numFmtId="0" fontId="22" fillId="3" borderId="20" xfId="1" applyFont="1" applyFill="1" applyBorder="1" applyAlignment="1">
      <alignment horizontal="left" vertical="center" wrapText="1" indent="2"/>
    </xf>
    <xf numFmtId="1" fontId="22" fillId="12" borderId="21" xfId="1" applyNumberFormat="1" applyFont="1" applyFill="1" applyBorder="1" applyAlignment="1">
      <alignment horizontal="center" vertical="center" wrapText="1"/>
    </xf>
    <xf numFmtId="1" fontId="22" fillId="3" borderId="21" xfId="1" applyNumberFormat="1" applyFont="1" applyFill="1" applyBorder="1" applyAlignment="1">
      <alignment horizontal="center" vertical="center" wrapText="1"/>
    </xf>
    <xf numFmtId="6" fontId="24" fillId="12" borderId="39" xfId="1" applyNumberFormat="1" applyFont="1" applyFill="1" applyBorder="1" applyAlignment="1">
      <alignment horizontal="center" vertical="center" wrapText="1"/>
    </xf>
    <xf numFmtId="1" fontId="5" fillId="3" borderId="21" xfId="1" applyNumberFormat="1" applyFont="1" applyFill="1" applyBorder="1" applyAlignment="1">
      <alignment horizontal="center" vertical="center" wrapText="1"/>
    </xf>
    <xf numFmtId="0" fontId="22" fillId="3" borderId="48" xfId="1" applyFont="1" applyFill="1" applyBorder="1" applyAlignment="1">
      <alignment horizontal="left" vertical="center" wrapText="1" indent="2"/>
    </xf>
    <xf numFmtId="1" fontId="22" fillId="12" borderId="50" xfId="1" applyNumberFormat="1" applyFont="1" applyFill="1" applyBorder="1" applyAlignment="1">
      <alignment horizontal="center" vertical="center" wrapText="1"/>
    </xf>
    <xf numFmtId="1" fontId="22" fillId="0" borderId="50" xfId="1" applyNumberFormat="1" applyFont="1" applyBorder="1" applyAlignment="1">
      <alignment horizontal="center" vertical="center" wrapText="1"/>
    </xf>
    <xf numFmtId="6" fontId="24" fillId="12" borderId="50" xfId="1" applyNumberFormat="1" applyFont="1" applyFill="1" applyBorder="1" applyAlignment="1">
      <alignment horizontal="center" vertical="center" wrapText="1"/>
    </xf>
    <xf numFmtId="6" fontId="24" fillId="12" borderId="51" xfId="1" applyNumberFormat="1" applyFont="1" applyFill="1" applyBorder="1" applyAlignment="1">
      <alignment horizontal="center" vertical="center" wrapText="1"/>
    </xf>
    <xf numFmtId="0" fontId="22" fillId="3" borderId="42" xfId="1" applyFont="1" applyFill="1" applyBorder="1" applyAlignment="1">
      <alignment horizontal="left" vertical="center" wrapText="1" indent="2"/>
    </xf>
    <xf numFmtId="1" fontId="22" fillId="12" borderId="33" xfId="1" applyNumberFormat="1" applyFont="1" applyFill="1" applyBorder="1" applyAlignment="1">
      <alignment horizontal="center" vertical="center" wrapText="1"/>
    </xf>
    <xf numFmtId="1" fontId="22" fillId="0" borderId="33" xfId="1" applyNumberFormat="1" applyFont="1" applyBorder="1" applyAlignment="1">
      <alignment horizontal="center" vertical="center" wrapText="1"/>
    </xf>
    <xf numFmtId="6" fontId="24" fillId="12" borderId="33" xfId="1" applyNumberFormat="1" applyFont="1" applyFill="1" applyBorder="1" applyAlignment="1">
      <alignment horizontal="center" vertical="center" wrapText="1"/>
    </xf>
    <xf numFmtId="6" fontId="24" fillId="12" borderId="34" xfId="1" applyNumberFormat="1" applyFont="1" applyFill="1" applyBorder="1" applyAlignment="1">
      <alignment horizontal="center" vertical="center" wrapText="1"/>
    </xf>
    <xf numFmtId="0" fontId="5" fillId="13" borderId="2" xfId="1" applyFont="1" applyFill="1" applyBorder="1" applyAlignment="1">
      <alignment horizontal="left" vertical="center" wrapText="1"/>
    </xf>
    <xf numFmtId="165" fontId="3" fillId="10" borderId="57" xfId="1" applyNumberFormat="1" applyFont="1" applyFill="1" applyBorder="1" applyAlignment="1">
      <alignment horizontal="center" vertical="center" wrapText="1"/>
    </xf>
    <xf numFmtId="3" fontId="5" fillId="3" borderId="39" xfId="1" applyNumberFormat="1" applyFont="1" applyFill="1" applyBorder="1" applyAlignment="1">
      <alignment horizontal="center" vertical="center" wrapText="1"/>
    </xf>
    <xf numFmtId="0" fontId="3" fillId="10" borderId="68" xfId="1" applyFont="1" applyFill="1" applyBorder="1" applyAlignment="1">
      <alignment horizontal="left" vertical="center" wrapText="1"/>
    </xf>
    <xf numFmtId="0" fontId="3" fillId="10" borderId="56" xfId="1" applyFont="1" applyFill="1" applyBorder="1" applyAlignment="1">
      <alignment horizontal="center" vertical="center" wrapText="1"/>
    </xf>
    <xf numFmtId="6" fontId="22" fillId="12" borderId="21" xfId="1" applyNumberFormat="1" applyFont="1" applyFill="1" applyBorder="1" applyAlignment="1">
      <alignment horizontal="center" vertical="center" wrapText="1"/>
    </xf>
    <xf numFmtId="6" fontId="22" fillId="3" borderId="21" xfId="1" applyNumberFormat="1" applyFont="1" applyFill="1" applyBorder="1" applyAlignment="1">
      <alignment horizontal="center" vertical="center" wrapText="1"/>
    </xf>
    <xf numFmtId="6" fontId="22" fillId="3" borderId="27" xfId="1" applyNumberFormat="1" applyFont="1" applyFill="1" applyBorder="1" applyAlignment="1">
      <alignment horizontal="center" vertical="center" wrapText="1"/>
    </xf>
    <xf numFmtId="6" fontId="22" fillId="3" borderId="39" xfId="1" applyNumberFormat="1" applyFont="1" applyFill="1" applyBorder="1" applyAlignment="1">
      <alignment horizontal="center" vertical="center" wrapText="1"/>
    </xf>
    <xf numFmtId="6" fontId="5" fillId="12" borderId="21" xfId="1" applyNumberFormat="1" applyFont="1" applyFill="1" applyBorder="1" applyAlignment="1">
      <alignment horizontal="center" vertical="center" wrapText="1"/>
    </xf>
    <xf numFmtId="6" fontId="22" fillId="12" borderId="33" xfId="1" applyNumberFormat="1" applyFont="1" applyFill="1" applyBorder="1" applyAlignment="1">
      <alignment horizontal="center" vertical="center" wrapText="1"/>
    </xf>
    <xf numFmtId="6" fontId="22" fillId="0" borderId="33" xfId="1" applyNumberFormat="1" applyFont="1" applyBorder="1" applyAlignment="1">
      <alignment horizontal="center" vertical="center" wrapText="1"/>
    </xf>
    <xf numFmtId="6" fontId="22" fillId="0" borderId="34" xfId="1" applyNumberFormat="1" applyFont="1" applyBorder="1" applyAlignment="1">
      <alignment horizontal="center" vertical="center" wrapText="1"/>
    </xf>
    <xf numFmtId="6" fontId="22" fillId="0" borderId="39" xfId="1" applyNumberFormat="1" applyFont="1" applyBorder="1" applyAlignment="1">
      <alignment horizontal="center" vertical="center" wrapText="1"/>
    </xf>
    <xf numFmtId="6" fontId="5" fillId="3" borderId="39" xfId="1" applyNumberFormat="1" applyFont="1" applyFill="1" applyBorder="1" applyAlignment="1">
      <alignment horizontal="center" vertical="center" wrapText="1"/>
    </xf>
    <xf numFmtId="3" fontId="5" fillId="3" borderId="0" xfId="1" applyNumberFormat="1" applyFont="1" applyFill="1" applyAlignment="1">
      <alignment horizontal="center" vertical="center" wrapText="1"/>
    </xf>
    <xf numFmtId="9" fontId="5" fillId="3" borderId="39" xfId="4" applyFont="1" applyFill="1" applyBorder="1" applyAlignment="1">
      <alignment horizontal="center" vertical="center" wrapText="1"/>
    </xf>
    <xf numFmtId="3" fontId="1" fillId="3" borderId="0" xfId="1" applyNumberFormat="1" applyFill="1" applyAlignment="1">
      <alignment horizontal="center" vertical="center" wrapText="1"/>
    </xf>
    <xf numFmtId="0" fontId="1" fillId="0" borderId="0" xfId="1" applyAlignment="1">
      <alignment horizontal="left" vertical="center"/>
    </xf>
    <xf numFmtId="0" fontId="1" fillId="0" borderId="0" xfId="1" applyAlignment="1">
      <alignment horizontal="center" vertical="center"/>
    </xf>
    <xf numFmtId="0" fontId="22" fillId="3" borderId="21" xfId="1" applyFont="1" applyFill="1" applyBorder="1" applyAlignment="1">
      <alignment horizontal="center" vertical="center" wrapText="1"/>
    </xf>
    <xf numFmtId="0" fontId="22" fillId="12" borderId="21" xfId="1" applyFont="1" applyFill="1" applyBorder="1" applyAlignment="1">
      <alignment horizontal="center" vertical="center" wrapText="1"/>
    </xf>
    <xf numFmtId="0" fontId="22" fillId="12" borderId="33" xfId="1" applyFont="1" applyFill="1" applyBorder="1" applyAlignment="1">
      <alignment horizontal="center" vertical="center" wrapText="1"/>
    </xf>
    <xf numFmtId="0" fontId="22" fillId="0" borderId="33" xfId="1" applyFont="1" applyBorder="1" applyAlignment="1">
      <alignment horizontal="center" vertical="center" wrapText="1"/>
    </xf>
    <xf numFmtId="0" fontId="16" fillId="2" borderId="1" xfId="1" applyFont="1" applyFill="1" applyBorder="1" applyAlignment="1">
      <alignment vertical="top" wrapText="1"/>
    </xf>
    <xf numFmtId="0" fontId="16" fillId="0" borderId="2" xfId="1" applyFont="1" applyBorder="1" applyAlignment="1">
      <alignment vertical="top" wrapText="1"/>
    </xf>
    <xf numFmtId="0" fontId="16" fillId="0" borderId="3" xfId="1" applyFont="1" applyBorder="1" applyAlignment="1">
      <alignment horizontal="left" vertical="top" wrapText="1"/>
    </xf>
    <xf numFmtId="0" fontId="16" fillId="0" borderId="3" xfId="1" applyFont="1" applyBorder="1" applyAlignment="1">
      <alignment vertical="top" wrapText="1"/>
    </xf>
    <xf numFmtId="0" fontId="17" fillId="0" borderId="0" xfId="1" applyFont="1"/>
    <xf numFmtId="0" fontId="17" fillId="0" borderId="0" xfId="1" applyFont="1" applyAlignment="1">
      <alignment horizontal="center" vertical="center"/>
    </xf>
    <xf numFmtId="0" fontId="16" fillId="3" borderId="6" xfId="1" applyFont="1" applyFill="1" applyBorder="1" applyAlignment="1">
      <alignment vertical="center" wrapText="1"/>
    </xf>
    <xf numFmtId="0" fontId="16" fillId="3" borderId="7" xfId="1" applyFont="1" applyFill="1" applyBorder="1" applyAlignment="1">
      <alignment vertical="center" wrapText="1"/>
    </xf>
    <xf numFmtId="0" fontId="17" fillId="0" borderId="0" xfId="1" applyFont="1" applyAlignment="1">
      <alignment vertical="center"/>
    </xf>
    <xf numFmtId="0" fontId="16" fillId="3" borderId="8" xfId="1" applyFont="1" applyFill="1" applyBorder="1" applyAlignment="1">
      <alignment horizontal="center" vertical="top" wrapText="1"/>
    </xf>
    <xf numFmtId="0" fontId="16" fillId="3" borderId="9" xfId="1" applyFont="1" applyFill="1" applyBorder="1" applyAlignment="1">
      <alignment horizontal="center" vertical="top" wrapText="1"/>
    </xf>
    <xf numFmtId="0" fontId="16" fillId="3" borderId="9" xfId="1" applyFont="1" applyFill="1" applyBorder="1" applyAlignment="1">
      <alignment horizontal="left" vertical="top" wrapText="1"/>
    </xf>
    <xf numFmtId="0" fontId="16" fillId="4" borderId="4" xfId="1" applyFont="1" applyFill="1" applyBorder="1" applyAlignment="1">
      <alignment horizontal="center" vertical="top" wrapText="1"/>
    </xf>
    <xf numFmtId="17" fontId="16" fillId="4" borderId="10" xfId="1" applyNumberFormat="1" applyFont="1" applyFill="1" applyBorder="1" applyAlignment="1">
      <alignment horizontal="center" vertical="top" wrapText="1"/>
    </xf>
    <xf numFmtId="0" fontId="16" fillId="4" borderId="11" xfId="1" applyFont="1" applyFill="1" applyBorder="1" applyAlignment="1">
      <alignment horizontal="center" vertical="top" wrapText="1"/>
    </xf>
    <xf numFmtId="0" fontId="16" fillId="3" borderId="7" xfId="1" applyFont="1" applyFill="1" applyBorder="1" applyAlignment="1">
      <alignment vertical="top" wrapText="1"/>
    </xf>
    <xf numFmtId="0" fontId="16" fillId="5" borderId="12" xfId="1" applyFont="1" applyFill="1" applyBorder="1" applyAlignment="1">
      <alignment vertical="top" wrapText="1"/>
    </xf>
    <xf numFmtId="0" fontId="16" fillId="2" borderId="13" xfId="1" applyFont="1" applyFill="1" applyBorder="1" applyAlignment="1">
      <alignment vertical="top" wrapText="1"/>
    </xf>
    <xf numFmtId="0" fontId="16" fillId="2" borderId="13" xfId="1" applyFont="1" applyFill="1" applyBorder="1" applyAlignment="1">
      <alignment horizontal="left" vertical="top" wrapText="1"/>
    </xf>
    <xf numFmtId="0" fontId="17" fillId="0" borderId="0" xfId="1" applyFont="1" applyAlignment="1">
      <alignment horizontal="center"/>
    </xf>
    <xf numFmtId="0" fontId="16" fillId="6" borderId="7" xfId="1" applyFont="1" applyFill="1" applyBorder="1" applyAlignment="1">
      <alignment vertical="top" wrapText="1"/>
    </xf>
    <xf numFmtId="0" fontId="17" fillId="7" borderId="14" xfId="1" applyFont="1" applyFill="1" applyBorder="1" applyAlignment="1">
      <alignment horizontal="left" vertical="top" wrapText="1"/>
    </xf>
    <xf numFmtId="0" fontId="16" fillId="0" borderId="15" xfId="1" applyFont="1" applyBorder="1" applyAlignment="1">
      <alignment horizontal="left" vertical="center" wrapText="1"/>
    </xf>
    <xf numFmtId="0" fontId="17" fillId="0" borderId="16" xfId="1" applyFont="1" applyBorder="1" applyAlignment="1">
      <alignment horizontal="center" vertical="center" wrapText="1"/>
    </xf>
    <xf numFmtId="3" fontId="17" fillId="0" borderId="16" xfId="1" applyNumberFormat="1" applyFont="1" applyBorder="1" applyAlignment="1">
      <alignment horizontal="center" vertical="center" wrapText="1"/>
    </xf>
    <xf numFmtId="0" fontId="17" fillId="8" borderId="16" xfId="1" applyFont="1" applyFill="1" applyBorder="1" applyAlignment="1">
      <alignment horizontal="center" vertical="center" wrapText="1"/>
    </xf>
    <xf numFmtId="3" fontId="17" fillId="0" borderId="17" xfId="1" applyNumberFormat="1" applyFont="1" applyBorder="1" applyAlignment="1">
      <alignment horizontal="center" vertical="center" wrapText="1"/>
    </xf>
    <xf numFmtId="0" fontId="17" fillId="7" borderId="18" xfId="1" applyFont="1" applyFill="1" applyBorder="1" applyAlignment="1">
      <alignment horizontal="left" vertical="top" wrapText="1"/>
    </xf>
    <xf numFmtId="0" fontId="16" fillId="0" borderId="19" xfId="1" applyFont="1" applyBorder="1" applyAlignment="1">
      <alignment horizontal="left" vertical="center" wrapText="1"/>
    </xf>
    <xf numFmtId="0" fontId="17" fillId="8" borderId="20" xfId="1" applyFont="1" applyFill="1" applyBorder="1" applyAlignment="1">
      <alignment horizontal="center" vertical="center" wrapText="1"/>
    </xf>
    <xf numFmtId="3" fontId="17" fillId="0" borderId="21" xfId="1" applyNumberFormat="1" applyFont="1" applyBorder="1" applyAlignment="1">
      <alignment horizontal="center" vertical="center" wrapText="1"/>
    </xf>
    <xf numFmtId="3" fontId="17" fillId="0" borderId="22" xfId="1" applyNumberFormat="1" applyFont="1" applyBorder="1" applyAlignment="1">
      <alignment horizontal="center" vertical="center" wrapText="1"/>
    </xf>
    <xf numFmtId="3" fontId="17" fillId="0" borderId="23" xfId="1" applyNumberFormat="1" applyFont="1" applyBorder="1" applyAlignment="1">
      <alignment horizontal="center" vertical="center" wrapText="1"/>
    </xf>
    <xf numFmtId="0" fontId="17" fillId="0" borderId="18" xfId="1" applyFont="1" applyBorder="1" applyAlignment="1">
      <alignment vertical="top" wrapText="1"/>
    </xf>
    <xf numFmtId="0" fontId="16" fillId="4" borderId="2" xfId="1" applyFont="1" applyFill="1" applyBorder="1" applyAlignment="1">
      <alignment horizontal="left" vertical="center" wrapText="1"/>
    </xf>
    <xf numFmtId="0" fontId="17" fillId="0" borderId="9" xfId="1" applyFont="1" applyBorder="1" applyAlignment="1">
      <alignment horizontal="left" vertical="top" wrapText="1"/>
    </xf>
    <xf numFmtId="0" fontId="17" fillId="0" borderId="24" xfId="1" applyFont="1" applyBorder="1" applyAlignment="1">
      <alignment horizontal="center" vertical="center" wrapText="1"/>
    </xf>
    <xf numFmtId="0" fontId="16" fillId="0" borderId="26" xfId="1" applyFont="1" applyBorder="1" applyAlignment="1">
      <alignment horizontal="left" vertical="center" wrapText="1"/>
    </xf>
    <xf numFmtId="0" fontId="17" fillId="0" borderId="21" xfId="1" applyFont="1" applyBorder="1" applyAlignment="1">
      <alignment horizontal="center" vertical="center" wrapText="1"/>
    </xf>
    <xf numFmtId="3" fontId="17" fillId="0" borderId="27" xfId="1" applyNumberFormat="1" applyFont="1" applyBorder="1" applyAlignment="1">
      <alignment horizontal="center" vertical="center" wrapText="1"/>
    </xf>
    <xf numFmtId="1" fontId="17" fillId="0" borderId="21" xfId="1" applyNumberFormat="1" applyFont="1" applyBorder="1" applyAlignment="1">
      <alignment horizontal="center" vertical="center" wrapText="1"/>
    </xf>
    <xf numFmtId="0" fontId="17" fillId="0" borderId="27" xfId="1" applyFont="1" applyBorder="1" applyAlignment="1">
      <alignment horizontal="center" vertical="center" wrapText="1"/>
    </xf>
    <xf numFmtId="0" fontId="16" fillId="0" borderId="28" xfId="1" applyFont="1" applyBorder="1" applyAlignment="1">
      <alignment horizontal="left" vertical="top" wrapText="1"/>
    </xf>
    <xf numFmtId="0" fontId="16" fillId="0" borderId="29" xfId="1" applyFont="1" applyBorder="1" applyAlignment="1">
      <alignment horizontal="left" vertical="top" wrapText="1"/>
    </xf>
    <xf numFmtId="0" fontId="17" fillId="0" borderId="30" xfId="1" applyFont="1" applyBorder="1" applyAlignment="1">
      <alignment horizontal="center" vertical="top" wrapText="1"/>
    </xf>
    <xf numFmtId="9" fontId="17" fillId="0" borderId="16" xfId="1" applyNumberFormat="1" applyFont="1" applyBorder="1" applyAlignment="1">
      <alignment horizontal="center" vertical="top" wrapText="1"/>
    </xf>
    <xf numFmtId="9" fontId="17" fillId="0" borderId="17" xfId="1" applyNumberFormat="1" applyFont="1" applyBorder="1" applyAlignment="1">
      <alignment horizontal="center" vertical="top" wrapText="1"/>
    </xf>
    <xf numFmtId="0" fontId="16" fillId="0" borderId="31" xfId="1" applyFont="1" applyBorder="1" applyAlignment="1">
      <alignment horizontal="left" vertical="top" wrapText="1"/>
    </xf>
    <xf numFmtId="0" fontId="17" fillId="8" borderId="32" xfId="1" applyFont="1" applyFill="1" applyBorder="1" applyAlignment="1">
      <alignment horizontal="center" vertical="top" wrapText="1"/>
    </xf>
    <xf numFmtId="9" fontId="17" fillId="0" borderId="33" xfId="1" applyNumberFormat="1" applyFont="1" applyBorder="1" applyAlignment="1">
      <alignment horizontal="center" vertical="top" wrapText="1"/>
    </xf>
    <xf numFmtId="0" fontId="17" fillId="0" borderId="33" xfId="1" applyFont="1" applyBorder="1" applyAlignment="1">
      <alignment horizontal="center" vertical="top" wrapText="1"/>
    </xf>
    <xf numFmtId="0" fontId="17" fillId="0" borderId="34" xfId="1" applyFont="1" applyBorder="1" applyAlignment="1">
      <alignment horizontal="center" vertical="top" wrapText="1"/>
    </xf>
    <xf numFmtId="0" fontId="17" fillId="7" borderId="12" xfId="1" applyFont="1" applyFill="1" applyBorder="1" applyAlignment="1">
      <alignment horizontal="left" vertical="top" wrapText="1"/>
    </xf>
    <xf numFmtId="0" fontId="16" fillId="4" borderId="1" xfId="1" applyFont="1" applyFill="1" applyBorder="1" applyAlignment="1">
      <alignment horizontal="left" vertical="center" wrapText="1"/>
    </xf>
    <xf numFmtId="0" fontId="16" fillId="0" borderId="0" xfId="1" applyFont="1" applyAlignment="1">
      <alignment vertical="top" wrapText="1"/>
    </xf>
    <xf numFmtId="0" fontId="16" fillId="0" borderId="0" xfId="1" applyFont="1" applyAlignment="1">
      <alignment horizontal="left" vertical="top" wrapText="1"/>
    </xf>
    <xf numFmtId="0" fontId="16" fillId="0" borderId="0" xfId="1" applyFont="1" applyAlignment="1">
      <alignment horizontal="center" vertical="top" wrapText="1"/>
    </xf>
    <xf numFmtId="0" fontId="16" fillId="5" borderId="35" xfId="1" applyFont="1" applyFill="1" applyBorder="1" applyAlignment="1">
      <alignment vertical="top" wrapText="1"/>
    </xf>
    <xf numFmtId="0" fontId="16" fillId="2" borderId="1" xfId="1" applyFont="1" applyFill="1" applyBorder="1" applyAlignment="1">
      <alignment horizontal="left" vertical="top" wrapText="1"/>
    </xf>
    <xf numFmtId="0" fontId="16" fillId="4" borderId="36" xfId="1" applyFont="1" applyFill="1" applyBorder="1" applyAlignment="1">
      <alignment horizontal="center" vertical="top" wrapText="1"/>
    </xf>
    <xf numFmtId="0" fontId="17" fillId="0" borderId="30" xfId="1" applyFont="1" applyBorder="1" applyAlignment="1">
      <alignment horizontal="center" vertical="center" wrapText="1"/>
    </xf>
    <xf numFmtId="164" fontId="17" fillId="0" borderId="16" xfId="1" applyNumberFormat="1" applyFont="1" applyBorder="1" applyAlignment="1">
      <alignment horizontal="center" vertical="center" wrapText="1"/>
    </xf>
    <xf numFmtId="164" fontId="17" fillId="0" borderId="17" xfId="1" applyNumberFormat="1" applyFont="1" applyBorder="1" applyAlignment="1">
      <alignment horizontal="center" vertical="center" wrapText="1"/>
    </xf>
    <xf numFmtId="0" fontId="16" fillId="0" borderId="38" xfId="1" applyFont="1" applyBorder="1" applyAlignment="1">
      <alignment horizontal="left" vertical="top" wrapText="1"/>
    </xf>
    <xf numFmtId="0" fontId="17" fillId="0" borderId="22" xfId="1" applyFont="1" applyBorder="1" applyAlignment="1">
      <alignment horizontal="center" vertical="center" wrapText="1"/>
    </xf>
    <xf numFmtId="2" fontId="17" fillId="0" borderId="22" xfId="1" applyNumberFormat="1" applyFont="1" applyBorder="1" applyAlignment="1">
      <alignment horizontal="center" vertical="center" wrapText="1"/>
    </xf>
    <xf numFmtId="0" fontId="17" fillId="0" borderId="23" xfId="1" applyFont="1" applyBorder="1" applyAlignment="1">
      <alignment horizontal="center" vertical="center" wrapText="1"/>
    </xf>
    <xf numFmtId="0" fontId="17" fillId="0" borderId="8" xfId="1" applyFont="1" applyBorder="1" applyAlignment="1">
      <alignment horizontal="left" vertical="top" wrapText="1"/>
    </xf>
    <xf numFmtId="0" fontId="17" fillId="0" borderId="39" xfId="1" applyFont="1" applyBorder="1"/>
    <xf numFmtId="0" fontId="16" fillId="2" borderId="12" xfId="1" applyFont="1" applyFill="1" applyBorder="1" applyAlignment="1">
      <alignment vertical="top" wrapText="1"/>
    </xf>
    <xf numFmtId="0" fontId="16" fillId="2" borderId="4" xfId="1" applyFont="1" applyFill="1" applyBorder="1" applyAlignment="1">
      <alignment horizontal="left" vertical="top" wrapText="1"/>
    </xf>
    <xf numFmtId="0" fontId="16" fillId="4" borderId="10" xfId="1" applyFont="1" applyFill="1" applyBorder="1" applyAlignment="1">
      <alignment horizontal="center" vertical="top" wrapText="1"/>
    </xf>
    <xf numFmtId="0" fontId="16" fillId="0" borderId="15" xfId="1" applyFont="1" applyBorder="1" applyAlignment="1">
      <alignment horizontal="left" vertical="top" wrapText="1"/>
    </xf>
    <xf numFmtId="1" fontId="17" fillId="0" borderId="24" xfId="1" applyNumberFormat="1" applyFont="1" applyBorder="1" applyAlignment="1">
      <alignment horizontal="center" vertical="center" wrapText="1"/>
    </xf>
    <xf numFmtId="1" fontId="17" fillId="0" borderId="16" xfId="2" applyNumberFormat="1" applyFont="1" applyBorder="1" applyAlignment="1">
      <alignment horizontal="center" vertical="center" wrapText="1"/>
    </xf>
    <xf numFmtId="1" fontId="17" fillId="0" borderId="17" xfId="1" applyNumberFormat="1" applyFont="1" applyBorder="1" applyAlignment="1">
      <alignment horizontal="center" vertical="center" wrapText="1"/>
    </xf>
    <xf numFmtId="0" fontId="16" fillId="0" borderId="26" xfId="1" applyFont="1" applyBorder="1" applyAlignment="1">
      <alignment horizontal="left" vertical="top" wrapText="1"/>
    </xf>
    <xf numFmtId="0" fontId="17" fillId="0" borderId="21" xfId="1" applyFont="1" applyBorder="1" applyAlignment="1">
      <alignment horizontal="center" vertical="top" wrapText="1"/>
    </xf>
    <xf numFmtId="0" fontId="17" fillId="0" borderId="27" xfId="1" applyFont="1" applyBorder="1" applyAlignment="1">
      <alignment horizontal="center" vertical="top" wrapText="1"/>
    </xf>
    <xf numFmtId="0" fontId="16" fillId="4" borderId="28" xfId="1" applyFont="1" applyFill="1" applyBorder="1" applyAlignment="1">
      <alignment horizontal="left" vertical="center" wrapText="1"/>
    </xf>
    <xf numFmtId="0" fontId="17" fillId="3" borderId="9" xfId="1" applyFont="1" applyFill="1" applyBorder="1" applyAlignment="1">
      <alignment horizontal="left"/>
    </xf>
    <xf numFmtId="0" fontId="17" fillId="3" borderId="2" xfId="1" applyFont="1" applyFill="1" applyBorder="1" applyAlignment="1">
      <alignment horizontal="left" vertical="top" wrapText="1"/>
    </xf>
    <xf numFmtId="0" fontId="17" fillId="3" borderId="3" xfId="1" applyFont="1" applyFill="1" applyBorder="1" applyAlignment="1">
      <alignment horizontal="left" vertical="top" wrapText="1"/>
    </xf>
    <xf numFmtId="0" fontId="17" fillId="3" borderId="7" xfId="1" applyFont="1" applyFill="1" applyBorder="1" applyAlignment="1">
      <alignment horizontal="left" vertical="top" wrapText="1"/>
    </xf>
    <xf numFmtId="0" fontId="16" fillId="2" borderId="2" xfId="1" applyFont="1" applyFill="1" applyBorder="1" applyAlignment="1">
      <alignment horizontal="left" vertical="top" wrapText="1"/>
    </xf>
    <xf numFmtId="1" fontId="17" fillId="0" borderId="21" xfId="2" applyNumberFormat="1" applyFont="1" applyBorder="1" applyAlignment="1">
      <alignment horizontal="center" vertical="center" wrapText="1"/>
    </xf>
    <xf numFmtId="49" fontId="17" fillId="0" borderId="18" xfId="1" applyNumberFormat="1" applyFont="1" applyBorder="1" applyAlignment="1">
      <alignment vertical="top" wrapText="1"/>
    </xf>
    <xf numFmtId="0" fontId="16" fillId="5" borderId="1" xfId="1" applyFont="1" applyFill="1" applyBorder="1" applyAlignment="1">
      <alignment vertical="top" wrapText="1"/>
    </xf>
    <xf numFmtId="0" fontId="16" fillId="6" borderId="1" xfId="1" applyFont="1" applyFill="1" applyBorder="1" applyAlignment="1">
      <alignment vertical="top" wrapText="1"/>
    </xf>
    <xf numFmtId="0" fontId="17" fillId="0" borderId="24" xfId="1" applyFont="1" applyBorder="1" applyAlignment="1">
      <alignment horizontal="center" vertical="top" wrapText="1"/>
    </xf>
    <xf numFmtId="0" fontId="17" fillId="8" borderId="20" xfId="1" applyFont="1" applyFill="1" applyBorder="1" applyAlignment="1">
      <alignment horizontal="center" vertical="top" wrapText="1"/>
    </xf>
    <xf numFmtId="0" fontId="16" fillId="4" borderId="28" xfId="1" applyFont="1" applyFill="1" applyBorder="1" applyAlignment="1">
      <alignment horizontal="left" vertical="top" wrapText="1"/>
    </xf>
    <xf numFmtId="0" fontId="17" fillId="4" borderId="33" xfId="1" applyFont="1" applyFill="1" applyBorder="1" applyAlignment="1">
      <alignment vertical="top" wrapText="1"/>
    </xf>
    <xf numFmtId="0" fontId="16" fillId="4" borderId="33" xfId="1" applyFont="1" applyFill="1" applyBorder="1" applyAlignment="1">
      <alignment horizontal="center" vertical="top" wrapText="1"/>
    </xf>
    <xf numFmtId="0" fontId="16" fillId="4" borderId="34" xfId="1" applyFont="1" applyFill="1" applyBorder="1" applyAlignment="1">
      <alignment horizontal="center" vertical="top" wrapText="1"/>
    </xf>
    <xf numFmtId="0" fontId="16" fillId="2" borderId="7" xfId="1" applyFont="1" applyFill="1" applyBorder="1" applyAlignment="1">
      <alignment horizontal="left" vertical="top" wrapText="1"/>
    </xf>
    <xf numFmtId="0" fontId="16" fillId="0" borderId="43" xfId="1" applyFont="1" applyBorder="1" applyAlignment="1">
      <alignment horizontal="left" vertical="top" wrapText="1"/>
    </xf>
    <xf numFmtId="0" fontId="17" fillId="8" borderId="42" xfId="1" applyFont="1" applyFill="1" applyBorder="1" applyAlignment="1">
      <alignment horizontal="center" vertical="center" wrapText="1"/>
    </xf>
    <xf numFmtId="0" fontId="17" fillId="0" borderId="33" xfId="1" applyFont="1" applyBorder="1" applyAlignment="1">
      <alignment horizontal="center" vertical="center" wrapText="1"/>
    </xf>
    <xf numFmtId="0" fontId="17" fillId="0" borderId="34" xfId="1" applyFont="1" applyBorder="1" applyAlignment="1">
      <alignment horizontal="center" vertical="center" wrapText="1"/>
    </xf>
    <xf numFmtId="0" fontId="17" fillId="8" borderId="42" xfId="1" applyFont="1" applyFill="1" applyBorder="1" applyAlignment="1">
      <alignment horizontal="center" vertical="top" wrapText="1"/>
    </xf>
    <xf numFmtId="0" fontId="16" fillId="2" borderId="7" xfId="1" applyFont="1" applyFill="1" applyBorder="1" applyAlignment="1">
      <alignment vertical="top" wrapText="1"/>
    </xf>
    <xf numFmtId="0" fontId="16" fillId="4" borderId="2" xfId="1" applyFont="1" applyFill="1" applyBorder="1" applyAlignment="1">
      <alignment horizontal="left" vertical="top" wrapText="1"/>
    </xf>
    <xf numFmtId="0" fontId="17" fillId="0" borderId="0" xfId="1" applyFont="1" applyAlignment="1">
      <alignment horizontal="left"/>
    </xf>
    <xf numFmtId="0" fontId="16" fillId="0" borderId="24" xfId="1" applyFont="1" applyBorder="1" applyAlignment="1">
      <alignment horizontal="left" vertical="top" wrapText="1"/>
    </xf>
    <xf numFmtId="0" fontId="17" fillId="0" borderId="16" xfId="1" applyFont="1" applyBorder="1" applyAlignment="1">
      <alignment horizontal="center" vertical="top" wrapText="1"/>
    </xf>
    <xf numFmtId="0" fontId="16" fillId="0" borderId="42" xfId="1" applyFont="1" applyBorder="1" applyAlignment="1">
      <alignment horizontal="left" vertical="top" wrapText="1"/>
    </xf>
    <xf numFmtId="0" fontId="17" fillId="8" borderId="33" xfId="1" applyFont="1" applyFill="1" applyBorder="1" applyAlignment="1">
      <alignment horizontal="center" vertical="top" wrapText="1"/>
    </xf>
    <xf numFmtId="0" fontId="16" fillId="4" borderId="1" xfId="1" applyFont="1" applyFill="1" applyBorder="1" applyAlignment="1">
      <alignment horizontal="left" vertical="top" wrapText="1"/>
    </xf>
    <xf numFmtId="0" fontId="17" fillId="0" borderId="2" xfId="1" applyFont="1" applyBorder="1" applyAlignment="1">
      <alignment horizontal="left" vertical="top" wrapText="1"/>
    </xf>
    <xf numFmtId="0" fontId="17" fillId="0" borderId="3" xfId="1" applyFont="1" applyBorder="1" applyAlignment="1">
      <alignment horizontal="center" vertical="top" wrapText="1"/>
    </xf>
    <xf numFmtId="0" fontId="17" fillId="0" borderId="7" xfId="1" applyFont="1" applyBorder="1" applyAlignment="1">
      <alignment horizontal="center" vertical="top" wrapText="1"/>
    </xf>
    <xf numFmtId="0" fontId="17" fillId="8" borderId="28" xfId="1" applyFont="1" applyFill="1" applyBorder="1" applyAlignment="1">
      <alignment horizontal="center" vertical="center" wrapText="1"/>
    </xf>
    <xf numFmtId="0" fontId="16" fillId="4" borderId="7" xfId="1" applyFont="1" applyFill="1" applyBorder="1" applyAlignment="1">
      <alignment horizontal="center" vertical="top" wrapText="1"/>
    </xf>
    <xf numFmtId="0" fontId="16" fillId="0" borderId="20" xfId="1" applyFont="1" applyBorder="1" applyAlignment="1">
      <alignment horizontal="left" vertical="top" wrapText="1"/>
    </xf>
    <xf numFmtId="0" fontId="17" fillId="8" borderId="21" xfId="1" applyFont="1" applyFill="1" applyBorder="1" applyAlignment="1">
      <alignment horizontal="center" vertical="top" wrapText="1"/>
    </xf>
    <xf numFmtId="0" fontId="16" fillId="4" borderId="42" xfId="1" applyFont="1" applyFill="1" applyBorder="1" applyAlignment="1">
      <alignment horizontal="left" vertical="center" wrapText="1"/>
    </xf>
    <xf numFmtId="0" fontId="16" fillId="2" borderId="15" xfId="1" applyFont="1" applyFill="1" applyBorder="1" applyAlignment="1">
      <alignment horizontal="left" vertical="top" wrapText="1"/>
    </xf>
    <xf numFmtId="0" fontId="16" fillId="0" borderId="0" xfId="1" applyFont="1" applyAlignment="1">
      <alignment vertical="center"/>
    </xf>
    <xf numFmtId="49" fontId="17" fillId="0" borderId="18" xfId="1" applyNumberFormat="1" applyFont="1" applyBorder="1" applyAlignment="1">
      <alignment horizontal="left" vertical="top" wrapText="1"/>
    </xf>
    <xf numFmtId="0" fontId="9" fillId="0" borderId="9" xfId="1" applyFont="1" applyBorder="1" applyAlignment="1">
      <alignment horizontal="center" vertical="top" wrapText="1"/>
    </xf>
    <xf numFmtId="3" fontId="27" fillId="0" borderId="16" xfId="1" applyNumberFormat="1" applyFont="1" applyBorder="1" applyAlignment="1">
      <alignment horizontal="center" vertical="center" wrapText="1"/>
    </xf>
    <xf numFmtId="9" fontId="27" fillId="0" borderId="21" xfId="1" applyNumberFormat="1" applyFont="1" applyBorder="1" applyAlignment="1">
      <alignment horizontal="center" vertical="top" wrapText="1"/>
    </xf>
    <xf numFmtId="164" fontId="27" fillId="0" borderId="16" xfId="1" applyNumberFormat="1" applyFont="1" applyBorder="1" applyAlignment="1">
      <alignment horizontal="center" vertical="center" wrapText="1"/>
    </xf>
    <xf numFmtId="1" fontId="27" fillId="0" borderId="16" xfId="2" applyNumberFormat="1" applyFont="1" applyBorder="1" applyAlignment="1">
      <alignment horizontal="center" vertical="center" wrapText="1"/>
    </xf>
    <xf numFmtId="1" fontId="27" fillId="0" borderId="25" xfId="2" applyNumberFormat="1" applyFont="1" applyBorder="1" applyAlignment="1">
      <alignment horizontal="center" vertical="center" wrapText="1"/>
    </xf>
    <xf numFmtId="0" fontId="27" fillId="0" borderId="16" xfId="1" applyFont="1" applyBorder="1" applyAlignment="1">
      <alignment horizontal="center" vertical="center" wrapText="1"/>
    </xf>
    <xf numFmtId="0" fontId="27" fillId="0" borderId="25" xfId="1" applyFont="1" applyBorder="1" applyAlignment="1">
      <alignment horizontal="center" vertical="center" wrapText="1"/>
    </xf>
    <xf numFmtId="0" fontId="28" fillId="2" borderId="1" xfId="1" applyFont="1" applyFill="1" applyBorder="1" applyAlignment="1">
      <alignment vertical="top" wrapText="1"/>
    </xf>
    <xf numFmtId="0" fontId="17" fillId="0" borderId="0" xfId="1" applyFont="1" applyAlignment="1">
      <alignment horizontal="left" vertical="top" wrapText="1"/>
    </xf>
    <xf numFmtId="0" fontId="28" fillId="2" borderId="13" xfId="1" applyFont="1" applyFill="1" applyBorder="1" applyAlignment="1">
      <alignment horizontal="left" vertical="top" wrapText="1"/>
    </xf>
    <xf numFmtId="0" fontId="28" fillId="4" borderId="4" xfId="1" applyFont="1" applyFill="1" applyBorder="1" applyAlignment="1">
      <alignment horizontal="center" vertical="top" wrapText="1"/>
    </xf>
    <xf numFmtId="17" fontId="28" fillId="4" borderId="10" xfId="1" applyNumberFormat="1" applyFont="1" applyFill="1" applyBorder="1" applyAlignment="1">
      <alignment horizontal="center" vertical="top" wrapText="1"/>
    </xf>
    <xf numFmtId="0" fontId="28" fillId="4" borderId="11" xfId="1" applyFont="1" applyFill="1" applyBorder="1" applyAlignment="1">
      <alignment horizontal="center" vertical="top" wrapText="1"/>
    </xf>
    <xf numFmtId="0" fontId="29" fillId="0" borderId="0" xfId="1" applyFont="1"/>
    <xf numFmtId="0" fontId="28" fillId="0" borderId="29" xfId="1" applyFont="1" applyBorder="1" applyAlignment="1">
      <alignment horizontal="left" vertical="top" wrapText="1"/>
    </xf>
    <xf numFmtId="0" fontId="27" fillId="0" borderId="24" xfId="1" applyFont="1" applyBorder="1" applyAlignment="1">
      <alignment horizontal="center" vertical="top" wrapText="1"/>
    </xf>
    <xf numFmtId="0" fontId="27" fillId="8" borderId="16" xfId="1" applyFont="1" applyFill="1" applyBorder="1" applyAlignment="1">
      <alignment horizontal="center" vertical="center" wrapText="1"/>
    </xf>
    <xf numFmtId="1" fontId="27" fillId="0" borderId="17" xfId="1" applyNumberFormat="1" applyFont="1" applyBorder="1" applyAlignment="1">
      <alignment horizontal="center" vertical="center" wrapText="1"/>
    </xf>
    <xf numFmtId="0" fontId="28" fillId="0" borderId="31" xfId="1" applyFont="1" applyBorder="1" applyAlignment="1">
      <alignment horizontal="left" vertical="top" wrapText="1"/>
    </xf>
    <xf numFmtId="0" fontId="27" fillId="8" borderId="42" xfId="1" applyFont="1" applyFill="1" applyBorder="1" applyAlignment="1">
      <alignment horizontal="center" vertical="top" wrapText="1"/>
    </xf>
    <xf numFmtId="0" fontId="27" fillId="0" borderId="33" xfId="1" applyFont="1" applyBorder="1" applyAlignment="1">
      <alignment horizontal="center" vertical="center" wrapText="1"/>
    </xf>
    <xf numFmtId="0" fontId="27" fillId="0" borderId="34" xfId="1" applyFont="1" applyBorder="1" applyAlignment="1">
      <alignment horizontal="center" vertical="center" wrapText="1"/>
    </xf>
    <xf numFmtId="0" fontId="28" fillId="4" borderId="1" xfId="1" applyFont="1" applyFill="1" applyBorder="1" applyAlignment="1">
      <alignment horizontal="left" vertical="center" wrapText="1"/>
    </xf>
    <xf numFmtId="0" fontId="27" fillId="0" borderId="21" xfId="1" applyFont="1" applyBorder="1" applyAlignment="1">
      <alignment horizontal="center" vertical="center" wrapText="1"/>
    </xf>
    <xf numFmtId="1" fontId="30" fillId="0" borderId="63" xfId="0" applyNumberFormat="1" applyFont="1" applyBorder="1" applyAlignment="1">
      <alignment horizontal="center" vertical="top" wrapText="1"/>
    </xf>
    <xf numFmtId="1" fontId="5" fillId="0" borderId="22" xfId="0" applyNumberFormat="1" applyFont="1" applyBorder="1" applyAlignment="1">
      <alignment horizontal="center" vertical="top" wrapText="1"/>
    </xf>
    <xf numFmtId="1" fontId="5" fillId="3" borderId="22" xfId="0" applyNumberFormat="1" applyFont="1" applyFill="1" applyBorder="1" applyAlignment="1">
      <alignment horizontal="center" vertical="top" wrapText="1"/>
    </xf>
    <xf numFmtId="1" fontId="5" fillId="3" borderId="16" xfId="0" applyNumberFormat="1" applyFont="1" applyFill="1" applyBorder="1" applyAlignment="1">
      <alignment horizontal="center" vertical="top" wrapText="1"/>
    </xf>
    <xf numFmtId="1" fontId="5" fillId="0" borderId="33" xfId="0" applyNumberFormat="1" applyFont="1" applyBorder="1" applyAlignment="1">
      <alignment horizontal="center" vertical="top" wrapText="1"/>
    </xf>
    <xf numFmtId="1" fontId="1" fillId="0" borderId="33" xfId="0" applyNumberFormat="1" applyFont="1" applyBorder="1" applyAlignment="1">
      <alignment horizontal="center" vertical="top" wrapText="1"/>
    </xf>
    <xf numFmtId="9" fontId="9" fillId="7" borderId="13" xfId="1" applyNumberFormat="1" applyFont="1" applyFill="1" applyBorder="1" applyAlignment="1">
      <alignment horizontal="left" vertical="top" wrapText="1"/>
    </xf>
    <xf numFmtId="0" fontId="9" fillId="0" borderId="0" xfId="1" applyFont="1" applyAlignment="1">
      <alignment horizontal="center" vertical="top" wrapText="1"/>
    </xf>
    <xf numFmtId="0" fontId="11" fillId="10" borderId="13" xfId="0" applyFont="1" applyFill="1" applyBorder="1" applyAlignment="1">
      <alignment vertical="top" wrapText="1"/>
    </xf>
    <xf numFmtId="0" fontId="11" fillId="10" borderId="0" xfId="0" applyFont="1" applyFill="1" applyAlignment="1">
      <alignment horizontal="left" vertical="top" wrapText="1"/>
    </xf>
    <xf numFmtId="0" fontId="11" fillId="10" borderId="10" xfId="0" applyFont="1" applyFill="1" applyBorder="1" applyAlignment="1">
      <alignment horizontal="center" vertical="top" wrapText="1"/>
    </xf>
    <xf numFmtId="165" fontId="11" fillId="10" borderId="25" xfId="0" applyNumberFormat="1" applyFont="1" applyFill="1" applyBorder="1" applyAlignment="1">
      <alignment horizontal="center" vertical="top" wrapText="1"/>
    </xf>
    <xf numFmtId="165" fontId="11" fillId="10" borderId="60" xfId="0" applyNumberFormat="1" applyFont="1" applyFill="1" applyBorder="1" applyAlignment="1">
      <alignment horizontal="center" vertical="top" wrapText="1"/>
    </xf>
    <xf numFmtId="165" fontId="11" fillId="10" borderId="5" xfId="0" applyNumberFormat="1" applyFont="1" applyFill="1" applyBorder="1" applyAlignment="1">
      <alignment horizontal="center" vertical="top" wrapText="1"/>
    </xf>
    <xf numFmtId="0" fontId="31" fillId="0" borderId="0" xfId="0" applyFont="1"/>
    <xf numFmtId="0" fontId="15" fillId="0" borderId="63" xfId="0" applyFont="1" applyBorder="1" applyAlignment="1">
      <alignment horizontal="center" vertical="top" wrapText="1"/>
    </xf>
    <xf numFmtId="9" fontId="10" fillId="0" borderId="63" xfId="0" applyNumberFormat="1" applyFont="1" applyBorder="1" applyAlignment="1">
      <alignment horizontal="center" vertical="top" wrapText="1"/>
    </xf>
    <xf numFmtId="0" fontId="10" fillId="0" borderId="63" xfId="0" applyFont="1" applyBorder="1" applyAlignment="1">
      <alignment horizontal="center" vertical="top" wrapText="1"/>
    </xf>
    <xf numFmtId="9" fontId="10" fillId="0" borderId="0" xfId="0" applyNumberFormat="1" applyFont="1" applyAlignment="1">
      <alignment horizontal="center" vertical="top" wrapText="1"/>
    </xf>
    <xf numFmtId="1" fontId="14" fillId="0" borderId="33" xfId="0" applyNumberFormat="1" applyFont="1" applyBorder="1" applyAlignment="1">
      <alignment horizontal="center" vertical="top" wrapText="1"/>
    </xf>
    <xf numFmtId="0" fontId="30" fillId="0" borderId="63" xfId="0" applyFont="1" applyBorder="1" applyAlignment="1">
      <alignment horizontal="center" vertical="top" wrapText="1"/>
    </xf>
    <xf numFmtId="0" fontId="30" fillId="0" borderId="0" xfId="0" applyFont="1" applyAlignment="1">
      <alignment horizontal="center" vertical="top" wrapText="1"/>
    </xf>
    <xf numFmtId="1" fontId="1" fillId="3" borderId="33" xfId="0" applyNumberFormat="1" applyFont="1" applyFill="1" applyBorder="1" applyAlignment="1">
      <alignment horizontal="center" vertical="top" wrapText="1"/>
    </xf>
    <xf numFmtId="172" fontId="30" fillId="0" borderId="63" xfId="6" applyNumberFormat="1" applyFont="1" applyFill="1" applyBorder="1" applyAlignment="1">
      <alignment horizontal="center" vertical="top" wrapText="1"/>
    </xf>
    <xf numFmtId="172" fontId="5" fillId="17" borderId="72" xfId="6" applyNumberFormat="1" applyFont="1" applyFill="1" applyBorder="1" applyAlignment="1">
      <alignment horizontal="center" vertical="top" wrapText="1"/>
    </xf>
    <xf numFmtId="172" fontId="5" fillId="0" borderId="21" xfId="6" applyNumberFormat="1" applyFont="1" applyFill="1" applyBorder="1" applyAlignment="1">
      <alignment horizontal="center" vertical="top" wrapText="1"/>
    </xf>
    <xf numFmtId="172" fontId="5" fillId="3" borderId="21" xfId="6" applyNumberFormat="1" applyFont="1" applyFill="1" applyBorder="1" applyAlignment="1">
      <alignment horizontal="center" vertical="top" wrapText="1"/>
    </xf>
    <xf numFmtId="172" fontId="5" fillId="0" borderId="21" xfId="0" applyNumberFormat="1" applyFont="1" applyBorder="1" applyAlignment="1">
      <alignment horizontal="center" vertical="top" wrapText="1"/>
    </xf>
    <xf numFmtId="172" fontId="5" fillId="0" borderId="33" xfId="6" applyNumberFormat="1" applyFont="1" applyFill="1" applyBorder="1" applyAlignment="1">
      <alignment horizontal="center" vertical="top" wrapText="1"/>
    </xf>
    <xf numFmtId="172" fontId="5" fillId="3" borderId="33" xfId="6" applyNumberFormat="1" applyFont="1" applyFill="1" applyBorder="1" applyAlignment="1">
      <alignment horizontal="center" vertical="top" wrapText="1"/>
    </xf>
    <xf numFmtId="172" fontId="5" fillId="3" borderId="16" xfId="6" applyNumberFormat="1" applyFont="1" applyFill="1" applyBorder="1" applyAlignment="1">
      <alignment horizontal="center" vertical="top" wrapText="1"/>
    </xf>
    <xf numFmtId="172" fontId="5" fillId="0" borderId="22" xfId="6" applyNumberFormat="1" applyFont="1" applyFill="1" applyBorder="1" applyAlignment="1">
      <alignment horizontal="center" vertical="top" wrapText="1"/>
    </xf>
    <xf numFmtId="172" fontId="5" fillId="3" borderId="22" xfId="6" applyNumberFormat="1" applyFont="1" applyFill="1" applyBorder="1" applyAlignment="1">
      <alignment horizontal="center" vertical="top" wrapText="1"/>
    </xf>
    <xf numFmtId="172" fontId="5" fillId="3" borderId="52" xfId="6" applyNumberFormat="1" applyFont="1" applyFill="1" applyBorder="1" applyAlignment="1">
      <alignment horizontal="center" vertical="top" wrapText="1"/>
    </xf>
    <xf numFmtId="172" fontId="9" fillId="0" borderId="21" xfId="6" applyNumberFormat="1" applyFont="1" applyFill="1" applyBorder="1" applyAlignment="1">
      <alignment vertical="top" wrapText="1"/>
    </xf>
    <xf numFmtId="167" fontId="1" fillId="15" borderId="21" xfId="3" applyNumberFormat="1" applyFill="1" applyBorder="1" applyAlignment="1">
      <alignment horizontal="right" vertical="center" wrapText="1"/>
    </xf>
    <xf numFmtId="167" fontId="5" fillId="15" borderId="21" xfId="3" applyNumberFormat="1" applyFont="1" applyFill="1" applyBorder="1" applyAlignment="1">
      <alignment horizontal="right" vertical="center" wrapText="1"/>
    </xf>
    <xf numFmtId="167" fontId="1" fillId="3" borderId="21" xfId="3" applyNumberFormat="1" applyFill="1" applyBorder="1" applyAlignment="1">
      <alignment horizontal="right" vertical="center" wrapText="1"/>
    </xf>
    <xf numFmtId="167" fontId="5" fillId="3" borderId="21" xfId="3" applyNumberFormat="1" applyFont="1" applyFill="1" applyBorder="1" applyAlignment="1">
      <alignment horizontal="right" vertical="center" wrapText="1"/>
    </xf>
    <xf numFmtId="166" fontId="1" fillId="15" borderId="21" xfId="3" applyNumberFormat="1" applyFill="1" applyBorder="1" applyAlignment="1">
      <alignment horizontal="right" vertical="center" wrapText="1"/>
    </xf>
    <xf numFmtId="166" fontId="5" fillId="15" borderId="21" xfId="3" applyNumberFormat="1" applyFont="1" applyFill="1" applyBorder="1" applyAlignment="1">
      <alignment horizontal="right" vertical="center" wrapText="1"/>
    </xf>
    <xf numFmtId="167" fontId="1" fillId="12" borderId="21" xfId="3" applyNumberFormat="1" applyFill="1" applyBorder="1" applyAlignment="1">
      <alignment horizontal="right" vertical="center" wrapText="1"/>
    </xf>
    <xf numFmtId="3" fontId="1" fillId="15" borderId="21" xfId="3" applyNumberFormat="1" applyFill="1" applyBorder="1" applyAlignment="1">
      <alignment horizontal="center" vertical="center" wrapText="1"/>
    </xf>
    <xf numFmtId="3" fontId="1" fillId="24" borderId="21" xfId="0" applyNumberFormat="1" applyFont="1" applyFill="1" applyBorder="1" applyAlignment="1">
      <alignment horizontal="center" vertical="center" wrapText="1"/>
    </xf>
    <xf numFmtId="9" fontId="1" fillId="3" borderId="21" xfId="4" applyFont="1" applyFill="1" applyBorder="1" applyAlignment="1">
      <alignment horizontal="center" vertical="center" wrapText="1"/>
    </xf>
    <xf numFmtId="3" fontId="1" fillId="3" borderId="21" xfId="3" applyNumberFormat="1" applyFill="1" applyBorder="1" applyAlignment="1">
      <alignment horizontal="center" vertical="center" wrapText="1"/>
    </xf>
    <xf numFmtId="0" fontId="1" fillId="0" borderId="0" xfId="3" applyAlignment="1">
      <alignment vertical="center" wrapText="1"/>
    </xf>
    <xf numFmtId="0" fontId="35" fillId="2" borderId="1" xfId="11" applyFont="1" applyFill="1" applyBorder="1" applyAlignment="1">
      <alignment vertical="top" wrapText="1"/>
    </xf>
    <xf numFmtId="0" fontId="35" fillId="0" borderId="2" xfId="11" applyFont="1" applyBorder="1" applyAlignment="1">
      <alignment vertical="top"/>
    </xf>
    <xf numFmtId="0" fontId="35" fillId="0" borderId="3" xfId="11" applyFont="1" applyBorder="1" applyAlignment="1">
      <alignment vertical="top"/>
    </xf>
    <xf numFmtId="0" fontId="35" fillId="0" borderId="7" xfId="11" applyFont="1" applyBorder="1" applyAlignment="1">
      <alignment vertical="top"/>
    </xf>
    <xf numFmtId="0" fontId="34" fillId="0" borderId="0" xfId="11"/>
    <xf numFmtId="0" fontId="35" fillId="2" borderId="12" xfId="11" applyFont="1" applyFill="1" applyBorder="1" applyAlignment="1">
      <alignment vertical="top" wrapText="1"/>
    </xf>
    <xf numFmtId="0" fontId="35" fillId="0" borderId="9" xfId="11" applyFont="1" applyBorder="1" applyAlignment="1">
      <alignment vertical="top"/>
    </xf>
    <xf numFmtId="0" fontId="35" fillId="0" borderId="57" xfId="11" applyFont="1" applyBorder="1" applyAlignment="1">
      <alignment vertical="top"/>
    </xf>
    <xf numFmtId="0" fontId="35" fillId="5" borderId="12" xfId="11" applyFont="1" applyFill="1" applyBorder="1" applyAlignment="1">
      <alignment vertical="top" wrapText="1"/>
    </xf>
    <xf numFmtId="0" fontId="35" fillId="2" borderId="13" xfId="11" applyFont="1" applyFill="1" applyBorder="1" applyAlignment="1">
      <alignment vertical="top" wrapText="1"/>
    </xf>
    <xf numFmtId="0" fontId="35" fillId="4" borderId="13" xfId="11" applyFont="1" applyFill="1" applyBorder="1" applyAlignment="1">
      <alignment vertical="top" wrapText="1"/>
    </xf>
    <xf numFmtId="0" fontId="8" fillId="7" borderId="14" xfId="11" applyFont="1" applyFill="1" applyBorder="1" applyAlignment="1">
      <alignment vertical="top" wrapText="1"/>
    </xf>
    <xf numFmtId="0" fontId="35" fillId="0" borderId="1" xfId="11" applyFont="1" applyBorder="1" applyAlignment="1">
      <alignment horizontal="center" vertical="top" wrapText="1"/>
    </xf>
    <xf numFmtId="0" fontId="8" fillId="0" borderId="13" xfId="11" applyFont="1" applyBorder="1" applyAlignment="1">
      <alignment vertical="top" wrapText="1"/>
    </xf>
    <xf numFmtId="0" fontId="8" fillId="7" borderId="18" xfId="11" applyFont="1" applyFill="1" applyBorder="1" applyAlignment="1">
      <alignment vertical="top" wrapText="1"/>
    </xf>
    <xf numFmtId="0" fontId="35" fillId="0" borderId="12" xfId="11" applyFont="1" applyBorder="1" applyAlignment="1">
      <alignment horizontal="center" vertical="top" wrapText="1"/>
    </xf>
    <xf numFmtId="0" fontId="8" fillId="8" borderId="1" xfId="11" applyFont="1" applyFill="1" applyBorder="1" applyAlignment="1">
      <alignment vertical="top" wrapText="1"/>
    </xf>
    <xf numFmtId="0" fontId="8" fillId="0" borderId="1" xfId="11" applyFont="1" applyBorder="1" applyAlignment="1">
      <alignment vertical="top" wrapText="1"/>
    </xf>
    <xf numFmtId="0" fontId="8" fillId="0" borderId="37" xfId="11" applyFont="1" applyBorder="1" applyAlignment="1">
      <alignment vertical="top" wrapText="1"/>
    </xf>
    <xf numFmtId="0" fontId="8" fillId="7" borderId="12" xfId="11" applyFont="1" applyFill="1" applyBorder="1" applyAlignment="1">
      <alignment vertical="top" wrapText="1"/>
    </xf>
    <xf numFmtId="0" fontId="8" fillId="0" borderId="8" xfId="11" applyFont="1" applyBorder="1" applyAlignment="1">
      <alignment vertical="top" wrapText="1"/>
    </xf>
    <xf numFmtId="0" fontId="8" fillId="0" borderId="2" xfId="11" applyFont="1" applyBorder="1" applyAlignment="1">
      <alignment vertical="top" wrapText="1"/>
    </xf>
    <xf numFmtId="0" fontId="35" fillId="0" borderId="0" xfId="11" applyFont="1" applyAlignment="1">
      <alignment vertical="top" wrapText="1"/>
    </xf>
    <xf numFmtId="0" fontId="35" fillId="5" borderId="1" xfId="11" applyFont="1" applyFill="1" applyBorder="1" applyAlignment="1">
      <alignment vertical="top" wrapText="1"/>
    </xf>
    <xf numFmtId="0" fontId="35" fillId="2" borderId="7" xfId="11" applyFont="1" applyFill="1" applyBorder="1" applyAlignment="1">
      <alignment vertical="top" wrapText="1"/>
    </xf>
    <xf numFmtId="0" fontId="35" fillId="4" borderId="7" xfId="11" applyFont="1" applyFill="1" applyBorder="1" applyAlignment="1">
      <alignment vertical="top" wrapText="1"/>
    </xf>
    <xf numFmtId="0" fontId="35" fillId="6" borderId="7" xfId="11" applyFont="1" applyFill="1" applyBorder="1" applyAlignment="1">
      <alignment vertical="top" wrapText="1"/>
    </xf>
    <xf numFmtId="0" fontId="35" fillId="8" borderId="13" xfId="11" applyFont="1" applyFill="1" applyBorder="1" applyAlignment="1">
      <alignment vertical="top" wrapText="1"/>
    </xf>
    <xf numFmtId="0" fontId="35" fillId="0" borderId="13" xfId="11" applyFont="1" applyBorder="1" applyAlignment="1">
      <alignment vertical="top" wrapText="1"/>
    </xf>
    <xf numFmtId="0" fontId="35" fillId="0" borderId="7" xfId="11" applyFont="1" applyBorder="1" applyAlignment="1">
      <alignment vertical="top" wrapText="1"/>
    </xf>
    <xf numFmtId="0" fontId="35" fillId="0" borderId="9" xfId="11" applyFont="1" applyBorder="1" applyAlignment="1">
      <alignment vertical="top" wrapText="1"/>
    </xf>
    <xf numFmtId="0" fontId="35" fillId="0" borderId="39" xfId="11" applyFont="1" applyBorder="1" applyAlignment="1">
      <alignment horizontal="center" vertical="top" wrapText="1"/>
    </xf>
    <xf numFmtId="0" fontId="8" fillId="8" borderId="9" xfId="11" applyFont="1" applyFill="1" applyBorder="1" applyAlignment="1">
      <alignment vertical="top" wrapText="1"/>
    </xf>
    <xf numFmtId="0" fontId="8" fillId="7" borderId="14" xfId="11" applyFont="1" applyFill="1" applyBorder="1" applyAlignment="1">
      <alignment horizontal="center" vertical="center" wrapText="1"/>
    </xf>
    <xf numFmtId="0" fontId="8" fillId="7" borderId="18" xfId="11" applyFont="1" applyFill="1" applyBorder="1" applyAlignment="1">
      <alignment vertical="center" wrapText="1"/>
    </xf>
    <xf numFmtId="0" fontId="35" fillId="6" borderId="13" xfId="11" applyFont="1" applyFill="1" applyBorder="1" applyAlignment="1">
      <alignment vertical="top" wrapText="1"/>
    </xf>
    <xf numFmtId="0" fontId="8" fillId="7" borderId="12" xfId="11" applyFont="1" applyFill="1" applyBorder="1" applyAlignment="1">
      <alignment vertical="center" wrapText="1"/>
    </xf>
    <xf numFmtId="0" fontId="35" fillId="0" borderId="18" xfId="11" applyFont="1" applyBorder="1" applyAlignment="1">
      <alignment horizontal="center" vertical="top" wrapText="1"/>
    </xf>
    <xf numFmtId="0" fontId="35" fillId="0" borderId="14" xfId="11" applyFont="1" applyBorder="1" applyAlignment="1">
      <alignment horizontal="center" vertical="top" wrapText="1"/>
    </xf>
    <xf numFmtId="0" fontId="8" fillId="0" borderId="57" xfId="11" applyFont="1" applyBorder="1" applyAlignment="1">
      <alignment vertical="top" wrapText="1"/>
    </xf>
    <xf numFmtId="0" fontId="35" fillId="8" borderId="1" xfId="11" applyFont="1" applyFill="1" applyBorder="1" applyAlignment="1">
      <alignment vertical="top" wrapText="1"/>
    </xf>
    <xf numFmtId="17" fontId="8" fillId="0" borderId="13" xfId="11" applyNumberFormat="1" applyFont="1" applyBorder="1" applyAlignment="1">
      <alignment vertical="top" wrapText="1"/>
    </xf>
    <xf numFmtId="1" fontId="36" fillId="0" borderId="63" xfId="1" applyNumberFormat="1" applyFont="1" applyBorder="1" applyAlignment="1">
      <alignment horizontal="center" vertical="top" wrapText="1"/>
    </xf>
    <xf numFmtId="3" fontId="36" fillId="0" borderId="21" xfId="1" applyNumberFormat="1" applyFont="1" applyBorder="1" applyAlignment="1">
      <alignment horizontal="center" vertical="top" wrapText="1"/>
    </xf>
    <xf numFmtId="1" fontId="9" fillId="0" borderId="21" xfId="1" applyNumberFormat="1" applyFont="1" applyBorder="1" applyAlignment="1">
      <alignment horizontal="center"/>
    </xf>
    <xf numFmtId="1" fontId="10" fillId="3" borderId="16" xfId="6" applyNumberFormat="1" applyFont="1" applyFill="1" applyBorder="1" applyAlignment="1">
      <alignment horizontal="center" vertical="top" wrapText="1"/>
    </xf>
    <xf numFmtId="167" fontId="19" fillId="0" borderId="21" xfId="1" applyNumberFormat="1" applyFont="1" applyBorder="1" applyAlignment="1">
      <alignment horizontal="center" vertical="center" wrapText="1"/>
    </xf>
    <xf numFmtId="9" fontId="1" fillId="21" borderId="21" xfId="4" applyFont="1" applyFill="1" applyBorder="1" applyAlignment="1">
      <alignment horizontal="left" vertical="center" wrapText="1"/>
    </xf>
    <xf numFmtId="9" fontId="1" fillId="21" borderId="21" xfId="4" applyFont="1" applyFill="1" applyBorder="1" applyAlignment="1">
      <alignment horizontal="center" vertical="center" wrapText="1"/>
    </xf>
    <xf numFmtId="6" fontId="1" fillId="21" borderId="21" xfId="3" applyNumberFormat="1" applyFill="1" applyBorder="1" applyAlignment="1">
      <alignment horizontal="center" vertical="top" wrapText="1"/>
    </xf>
    <xf numFmtId="0" fontId="5" fillId="13" borderId="8" xfId="1" applyFont="1" applyFill="1" applyBorder="1" applyAlignment="1">
      <alignment horizontal="left" vertical="center" wrapText="1"/>
    </xf>
    <xf numFmtId="0" fontId="5" fillId="3" borderId="21" xfId="1" applyFont="1" applyFill="1" applyBorder="1" applyAlignment="1">
      <alignment horizontal="left" vertical="center" wrapText="1"/>
    </xf>
    <xf numFmtId="0" fontId="3" fillId="10" borderId="21" xfId="1" applyFont="1" applyFill="1" applyBorder="1" applyAlignment="1">
      <alignment horizontal="left" vertical="center" wrapText="1"/>
    </xf>
    <xf numFmtId="0" fontId="3" fillId="10" borderId="21" xfId="1" applyFont="1" applyFill="1" applyBorder="1" applyAlignment="1">
      <alignment horizontal="center" vertical="center" wrapText="1"/>
    </xf>
    <xf numFmtId="165" fontId="3" fillId="10" borderId="21" xfId="1" applyNumberFormat="1" applyFont="1" applyFill="1" applyBorder="1" applyAlignment="1">
      <alignment horizontal="center" vertical="center" wrapText="1"/>
    </xf>
    <xf numFmtId="0" fontId="5" fillId="3" borderId="21" xfId="3" applyFont="1" applyFill="1" applyBorder="1" applyAlignment="1">
      <alignment horizontal="left" vertical="center" wrapText="1"/>
    </xf>
    <xf numFmtId="0" fontId="6" fillId="3" borderId="21" xfId="3" applyFont="1" applyFill="1" applyBorder="1" applyAlignment="1">
      <alignment horizontal="right" vertical="center" wrapText="1"/>
    </xf>
    <xf numFmtId="3" fontId="1" fillId="25" borderId="21" xfId="0" applyNumberFormat="1" applyFont="1" applyFill="1" applyBorder="1" applyAlignment="1">
      <alignment horizontal="center" vertical="center" wrapText="1"/>
    </xf>
    <xf numFmtId="0" fontId="5" fillId="15" borderId="21" xfId="3" applyFont="1" applyFill="1" applyBorder="1" applyAlignment="1">
      <alignment horizontal="left" vertical="center" wrapText="1"/>
    </xf>
    <xf numFmtId="9" fontId="1" fillId="3" borderId="21" xfId="10" applyFont="1" applyFill="1" applyBorder="1" applyAlignment="1">
      <alignment horizontal="center" vertical="center" wrapText="1"/>
    </xf>
    <xf numFmtId="0" fontId="3" fillId="10" borderId="21" xfId="3" applyFont="1" applyFill="1" applyBorder="1" applyAlignment="1">
      <alignment horizontal="left" vertical="center" wrapText="1"/>
    </xf>
    <xf numFmtId="0" fontId="3" fillId="10" borderId="21" xfId="3" applyFont="1" applyFill="1" applyBorder="1" applyAlignment="1">
      <alignment horizontal="center" vertical="center" wrapText="1"/>
    </xf>
    <xf numFmtId="165" fontId="3" fillId="10" borderId="21" xfId="3" applyNumberFormat="1" applyFont="1" applyFill="1" applyBorder="1" applyAlignment="1">
      <alignment horizontal="center" vertical="center" wrapText="1"/>
    </xf>
    <xf numFmtId="0" fontId="7" fillId="10" borderId="21" xfId="3" applyFont="1" applyFill="1" applyBorder="1" applyAlignment="1">
      <alignment horizontal="left" vertical="center" wrapText="1"/>
    </xf>
    <xf numFmtId="0" fontId="10" fillId="0" borderId="24" xfId="0" applyFont="1" applyBorder="1" applyAlignment="1">
      <alignment horizontal="left" vertical="top" wrapText="1"/>
    </xf>
    <xf numFmtId="0" fontId="9" fillId="0" borderId="42" xfId="0" applyFont="1" applyBorder="1" applyAlignment="1">
      <alignment vertical="top" wrapText="1"/>
    </xf>
    <xf numFmtId="0" fontId="3" fillId="10" borderId="21" xfId="0" applyFont="1" applyFill="1" applyBorder="1" applyAlignment="1">
      <alignment vertical="top" wrapText="1"/>
    </xf>
    <xf numFmtId="0" fontId="5" fillId="13" borderId="21" xfId="1" applyFont="1" applyFill="1" applyBorder="1" applyAlignment="1">
      <alignment horizontal="left" vertical="top" wrapText="1"/>
    </xf>
    <xf numFmtId="9" fontId="1" fillId="7" borderId="21" xfId="1" applyNumberFormat="1" applyFill="1" applyBorder="1" applyAlignment="1">
      <alignment horizontal="left" vertical="top" wrapText="1"/>
    </xf>
    <xf numFmtId="0" fontId="37" fillId="3" borderId="21" xfId="1" applyFont="1" applyFill="1" applyBorder="1" applyAlignment="1">
      <alignment horizontal="center" vertical="center" wrapText="1"/>
    </xf>
    <xf numFmtId="6" fontId="37" fillId="3" borderId="27" xfId="1" applyNumberFormat="1" applyFont="1" applyFill="1" applyBorder="1" applyAlignment="1">
      <alignment horizontal="center" vertical="center" wrapText="1"/>
    </xf>
    <xf numFmtId="3" fontId="1" fillId="15" borderId="21" xfId="3" applyNumberFormat="1" applyFill="1" applyBorder="1" applyAlignment="1">
      <alignment horizontal="left" vertical="center" wrapText="1"/>
    </xf>
    <xf numFmtId="0" fontId="5" fillId="3" borderId="8" xfId="1" applyFont="1" applyFill="1" applyBorder="1" applyAlignment="1">
      <alignment horizontal="left" vertical="center" wrapText="1"/>
    </xf>
    <xf numFmtId="0" fontId="5" fillId="3" borderId="9" xfId="1" applyFont="1" applyFill="1" applyBorder="1" applyAlignment="1">
      <alignment horizontal="left" vertical="center" wrapText="1"/>
    </xf>
    <xf numFmtId="0" fontId="5" fillId="3" borderId="3" xfId="1" applyFont="1" applyFill="1" applyBorder="1" applyAlignment="1">
      <alignment horizontal="left" vertical="center" wrapText="1"/>
    </xf>
    <xf numFmtId="0" fontId="5" fillId="3" borderId="7" xfId="1" applyFont="1" applyFill="1" applyBorder="1" applyAlignment="1">
      <alignment horizontal="left" vertical="center" wrapText="1"/>
    </xf>
    <xf numFmtId="0" fontId="1" fillId="3" borderId="0" xfId="1" applyFill="1" applyAlignment="1">
      <alignment vertical="center"/>
    </xf>
    <xf numFmtId="165" fontId="11" fillId="10" borderId="21" xfId="1" applyNumberFormat="1" applyFont="1" applyFill="1" applyBorder="1" applyAlignment="1">
      <alignment horizontal="center" vertical="top" wrapText="1"/>
    </xf>
    <xf numFmtId="3" fontId="9" fillId="23" borderId="67" xfId="1" applyNumberFormat="1" applyFont="1" applyFill="1" applyBorder="1" applyAlignment="1">
      <alignment horizontal="center" vertical="top" wrapText="1"/>
    </xf>
    <xf numFmtId="3" fontId="9" fillId="23" borderId="21" xfId="1" applyNumberFormat="1" applyFont="1" applyFill="1" applyBorder="1" applyAlignment="1">
      <alignment horizontal="left" vertical="top" wrapText="1"/>
    </xf>
    <xf numFmtId="165" fontId="11" fillId="0" borderId="25" xfId="1" applyNumberFormat="1" applyFont="1" applyBorder="1" applyAlignment="1">
      <alignment horizontal="center" vertical="top" wrapText="1"/>
    </xf>
    <xf numFmtId="165" fontId="11" fillId="10" borderId="56" xfId="1" applyNumberFormat="1" applyFont="1" applyFill="1" applyBorder="1" applyAlignment="1">
      <alignment horizontal="center" vertical="top" wrapText="1"/>
    </xf>
    <xf numFmtId="3" fontId="12" fillId="0" borderId="67" xfId="1" applyNumberFormat="1" applyFont="1" applyBorder="1" applyAlignment="1">
      <alignment horizontal="center" vertical="top" wrapText="1"/>
    </xf>
    <xf numFmtId="3" fontId="12" fillId="0" borderId="45" xfId="1" applyNumberFormat="1" applyFont="1" applyBorder="1" applyAlignment="1">
      <alignment horizontal="center" vertical="top" wrapText="1"/>
    </xf>
    <xf numFmtId="1" fontId="10" fillId="0" borderId="67" xfId="1" applyNumberFormat="1" applyFont="1" applyBorder="1" applyAlignment="1">
      <alignment horizontal="center"/>
    </xf>
    <xf numFmtId="1" fontId="10" fillId="0" borderId="45" xfId="1" applyNumberFormat="1" applyFont="1" applyBorder="1" applyAlignment="1">
      <alignment horizontal="center"/>
    </xf>
    <xf numFmtId="3" fontId="10" fillId="0" borderId="67" xfId="1" applyNumberFormat="1" applyFont="1" applyBorder="1" applyAlignment="1">
      <alignment horizontal="center" vertical="top" wrapText="1"/>
    </xf>
    <xf numFmtId="3" fontId="10" fillId="0" borderId="45" xfId="1" applyNumberFormat="1" applyFont="1" applyBorder="1" applyAlignment="1">
      <alignment horizontal="center" vertical="top" wrapText="1"/>
    </xf>
    <xf numFmtId="9" fontId="10" fillId="0" borderId="21" xfId="10" applyFont="1" applyBorder="1" applyAlignment="1">
      <alignment horizontal="center" vertical="top" wrapText="1"/>
    </xf>
    <xf numFmtId="3" fontId="10" fillId="23" borderId="67" xfId="1" applyNumberFormat="1" applyFont="1" applyFill="1" applyBorder="1" applyAlignment="1">
      <alignment horizontal="center" vertical="top" wrapText="1"/>
    </xf>
    <xf numFmtId="3" fontId="9" fillId="23" borderId="21" xfId="1" applyNumberFormat="1" applyFont="1" applyFill="1" applyBorder="1" applyAlignment="1">
      <alignment horizontal="center" vertical="top" wrapText="1"/>
    </xf>
    <xf numFmtId="3" fontId="9" fillId="0" borderId="45" xfId="1" applyNumberFormat="1" applyFont="1" applyBorder="1" applyAlignment="1">
      <alignment horizontal="center" vertical="top" wrapText="1"/>
    </xf>
    <xf numFmtId="0" fontId="13" fillId="0" borderId="21" xfId="4" applyNumberFormat="1" applyFont="1" applyFill="1" applyBorder="1" applyAlignment="1">
      <alignment horizontal="center" vertical="top" wrapText="1"/>
    </xf>
    <xf numFmtId="10" fontId="13" fillId="0" borderId="21" xfId="4" applyNumberFormat="1" applyFont="1" applyFill="1" applyBorder="1" applyAlignment="1">
      <alignment horizontal="center" vertical="top" wrapText="1"/>
    </xf>
    <xf numFmtId="3" fontId="13" fillId="23" borderId="67" xfId="1" applyNumberFormat="1" applyFont="1" applyFill="1" applyBorder="1" applyAlignment="1">
      <alignment horizontal="center" vertical="top" wrapText="1"/>
    </xf>
    <xf numFmtId="3" fontId="13" fillId="0" borderId="45" xfId="1" applyNumberFormat="1" applyFont="1" applyBorder="1" applyAlignment="1">
      <alignment horizontal="center" vertical="top" wrapText="1"/>
    </xf>
    <xf numFmtId="9" fontId="9" fillId="0" borderId="33" xfId="10" applyFont="1" applyFill="1" applyBorder="1" applyAlignment="1">
      <alignment horizontal="center" vertical="top" wrapText="1"/>
    </xf>
    <xf numFmtId="9" fontId="9" fillId="0" borderId="33" xfId="10" applyFont="1" applyBorder="1" applyAlignment="1">
      <alignment horizontal="center" vertical="top" wrapText="1"/>
    </xf>
    <xf numFmtId="3" fontId="9" fillId="23" borderId="44" xfId="1" applyNumberFormat="1" applyFont="1" applyFill="1" applyBorder="1" applyAlignment="1">
      <alignment horizontal="center" vertical="top" wrapText="1"/>
    </xf>
    <xf numFmtId="3" fontId="9" fillId="0" borderId="32" xfId="1" applyNumberFormat="1" applyFont="1" applyBorder="1" applyAlignment="1">
      <alignment horizontal="center" vertical="top" wrapText="1"/>
    </xf>
    <xf numFmtId="1" fontId="32" fillId="0" borderId="63" xfId="0" applyNumberFormat="1" applyFont="1" applyBorder="1" applyAlignment="1">
      <alignment horizontal="center" vertical="top" wrapText="1"/>
    </xf>
    <xf numFmtId="3" fontId="36" fillId="0" borderId="67" xfId="1" applyNumberFormat="1" applyFont="1" applyBorder="1" applyAlignment="1">
      <alignment horizontal="center" vertical="top" wrapText="1"/>
    </xf>
    <xf numFmtId="1" fontId="36" fillId="0" borderId="73" xfId="1" applyNumberFormat="1" applyFont="1" applyBorder="1" applyAlignment="1">
      <alignment horizontal="center" vertical="top" wrapText="1"/>
    </xf>
    <xf numFmtId="3" fontId="5" fillId="0" borderId="21" xfId="0" applyNumberFormat="1" applyFont="1" applyBorder="1" applyAlignment="1">
      <alignment horizontal="center" vertical="top" wrapText="1"/>
    </xf>
    <xf numFmtId="1" fontId="9" fillId="0" borderId="67" xfId="1" applyNumberFormat="1" applyFont="1" applyBorder="1" applyAlignment="1">
      <alignment horizontal="center"/>
    </xf>
    <xf numFmtId="3" fontId="1" fillId="0" borderId="21" xfId="0" applyNumberFormat="1" applyFont="1" applyBorder="1" applyAlignment="1">
      <alignment horizontal="left" vertical="top" wrapText="1"/>
    </xf>
    <xf numFmtId="9" fontId="9" fillId="0" borderId="21" xfId="10" applyFont="1" applyBorder="1" applyAlignment="1">
      <alignment horizontal="center" vertical="top" wrapText="1"/>
    </xf>
    <xf numFmtId="9" fontId="9" fillId="0" borderId="32" xfId="10" applyFont="1" applyBorder="1" applyAlignment="1">
      <alignment horizontal="center" vertical="top" wrapText="1"/>
    </xf>
    <xf numFmtId="0" fontId="10" fillId="3" borderId="21" xfId="1" applyFont="1" applyFill="1" applyBorder="1" applyAlignment="1">
      <alignment horizontal="center" vertical="top" wrapText="1"/>
    </xf>
    <xf numFmtId="172" fontId="5" fillId="0" borderId="16" xfId="6" applyNumberFormat="1" applyFont="1" applyFill="1" applyBorder="1" applyAlignment="1">
      <alignment vertical="top" wrapText="1"/>
    </xf>
    <xf numFmtId="172" fontId="10" fillId="3" borderId="61" xfId="6" applyNumberFormat="1" applyFont="1" applyFill="1" applyBorder="1" applyAlignment="1">
      <alignment vertical="top" wrapText="1"/>
    </xf>
    <xf numFmtId="172" fontId="10" fillId="3" borderId="30" xfId="6" applyNumberFormat="1" applyFont="1" applyFill="1" applyBorder="1" applyAlignment="1">
      <alignment vertical="top" wrapText="1"/>
    </xf>
    <xf numFmtId="172" fontId="5" fillId="0" borderId="21" xfId="6" applyNumberFormat="1" applyFont="1" applyFill="1" applyBorder="1" applyAlignment="1">
      <alignment vertical="top" wrapText="1"/>
    </xf>
    <xf numFmtId="172" fontId="10" fillId="3" borderId="67" xfId="6" applyNumberFormat="1" applyFont="1" applyFill="1" applyBorder="1" applyAlignment="1">
      <alignment vertical="top" wrapText="1"/>
    </xf>
    <xf numFmtId="172" fontId="10" fillId="3" borderId="45" xfId="6" applyNumberFormat="1" applyFont="1" applyFill="1" applyBorder="1" applyAlignment="1">
      <alignment vertical="top" wrapText="1"/>
    </xf>
    <xf numFmtId="10" fontId="15" fillId="3" borderId="21" xfId="10" applyNumberFormat="1" applyFont="1" applyFill="1" applyBorder="1" applyAlignment="1">
      <alignment vertical="top" wrapText="1"/>
    </xf>
    <xf numFmtId="172" fontId="10" fillId="23" borderId="67" xfId="6" applyNumberFormat="1" applyFont="1" applyFill="1" applyBorder="1" applyAlignment="1">
      <alignment vertical="top" wrapText="1"/>
    </xf>
    <xf numFmtId="172" fontId="9" fillId="23" borderId="21" xfId="6" applyNumberFormat="1" applyFont="1" applyFill="1" applyBorder="1" applyAlignment="1">
      <alignment vertical="top" wrapText="1"/>
    </xf>
    <xf numFmtId="9" fontId="15" fillId="3" borderId="21" xfId="10" applyFont="1" applyFill="1" applyBorder="1" applyAlignment="1">
      <alignment vertical="top" wrapText="1"/>
    </xf>
    <xf numFmtId="172" fontId="15" fillId="3" borderId="45" xfId="6" applyNumberFormat="1" applyFont="1" applyFill="1" applyBorder="1" applyAlignment="1">
      <alignment vertical="top" wrapText="1"/>
    </xf>
    <xf numFmtId="165" fontId="11" fillId="10" borderId="36" xfId="1" applyNumberFormat="1" applyFont="1" applyFill="1" applyBorder="1" applyAlignment="1">
      <alignment horizontal="center" vertical="top" wrapText="1"/>
    </xf>
    <xf numFmtId="172" fontId="9" fillId="0" borderId="61" xfId="6" applyNumberFormat="1" applyFont="1" applyFill="1" applyBorder="1" applyAlignment="1">
      <alignment vertical="top" wrapText="1"/>
    </xf>
    <xf numFmtId="172" fontId="9" fillId="0" borderId="30" xfId="6" applyNumberFormat="1" applyFont="1" applyFill="1" applyBorder="1" applyAlignment="1">
      <alignment vertical="top" wrapText="1"/>
    </xf>
    <xf numFmtId="172" fontId="9" fillId="0" borderId="67" xfId="6" applyNumberFormat="1" applyFont="1" applyFill="1" applyBorder="1" applyAlignment="1">
      <alignment vertical="top" wrapText="1"/>
    </xf>
    <xf numFmtId="172" fontId="9" fillId="0" borderId="45" xfId="6" applyNumberFormat="1" applyFont="1" applyFill="1" applyBorder="1" applyAlignment="1">
      <alignment vertical="top" wrapText="1"/>
    </xf>
    <xf numFmtId="9" fontId="15" fillId="0" borderId="21" xfId="10" applyFont="1" applyFill="1" applyBorder="1" applyAlignment="1">
      <alignment vertical="top" wrapText="1"/>
    </xf>
    <xf numFmtId="171" fontId="10" fillId="23" borderId="67" xfId="6" applyFont="1" applyFill="1" applyBorder="1" applyAlignment="1">
      <alignment vertical="top" wrapText="1"/>
    </xf>
    <xf numFmtId="171" fontId="9" fillId="23" borderId="21" xfId="6" applyFont="1" applyFill="1" applyBorder="1" applyAlignment="1">
      <alignment vertical="top" wrapText="1"/>
    </xf>
    <xf numFmtId="9" fontId="15" fillId="0" borderId="33" xfId="10" applyFont="1" applyFill="1" applyBorder="1" applyAlignment="1">
      <alignment vertical="top" wrapText="1"/>
    </xf>
    <xf numFmtId="172" fontId="10" fillId="23" borderId="44" xfId="6" applyNumberFormat="1" applyFont="1" applyFill="1" applyBorder="1" applyAlignment="1">
      <alignment vertical="top" wrapText="1"/>
    </xf>
    <xf numFmtId="0" fontId="9" fillId="23" borderId="21" xfId="6" applyNumberFormat="1" applyFont="1" applyFill="1" applyBorder="1" applyAlignment="1">
      <alignment vertical="top" wrapText="1"/>
    </xf>
    <xf numFmtId="172" fontId="5" fillId="0" borderId="74" xfId="6" applyNumberFormat="1" applyFont="1" applyFill="1" applyBorder="1" applyAlignment="1">
      <alignment horizontal="center" vertical="top" wrapText="1"/>
    </xf>
    <xf numFmtId="172" fontId="30" fillId="17" borderId="73" xfId="6" applyNumberFormat="1" applyFont="1" applyFill="1" applyBorder="1" applyAlignment="1">
      <alignment horizontal="center" vertical="top" wrapText="1"/>
    </xf>
    <xf numFmtId="172" fontId="5" fillId="3" borderId="67" xfId="6" applyNumberFormat="1" applyFont="1" applyFill="1" applyBorder="1" applyAlignment="1">
      <alignment horizontal="center" vertical="top" wrapText="1"/>
    </xf>
    <xf numFmtId="172" fontId="5" fillId="3" borderId="45" xfId="6" applyNumberFormat="1" applyFont="1" applyFill="1" applyBorder="1" applyAlignment="1">
      <alignment horizontal="center" vertical="top" wrapText="1"/>
    </xf>
    <xf numFmtId="172" fontId="5" fillId="0" borderId="67" xfId="6" applyNumberFormat="1" applyFont="1" applyFill="1" applyBorder="1" applyAlignment="1">
      <alignment horizontal="center" vertical="top" wrapText="1"/>
    </xf>
    <xf numFmtId="172" fontId="5" fillId="3" borderId="44" xfId="6" applyNumberFormat="1" applyFont="1" applyFill="1" applyBorder="1" applyAlignment="1">
      <alignment horizontal="center" vertical="top" wrapText="1"/>
    </xf>
    <xf numFmtId="172" fontId="5" fillId="3" borderId="32" xfId="6" applyNumberFormat="1" applyFont="1" applyFill="1" applyBorder="1" applyAlignment="1">
      <alignment horizontal="center" vertical="top" wrapText="1"/>
    </xf>
    <xf numFmtId="172" fontId="5" fillId="0" borderId="16" xfId="6" applyNumberFormat="1" applyFont="1" applyFill="1" applyBorder="1" applyAlignment="1">
      <alignment horizontal="center" vertical="top" wrapText="1"/>
    </xf>
    <xf numFmtId="9" fontId="5" fillId="3" borderId="16" xfId="10" applyFont="1" applyFill="1" applyBorder="1" applyAlignment="1">
      <alignment horizontal="center" vertical="top" wrapText="1"/>
    </xf>
    <xf numFmtId="172" fontId="1" fillId="23" borderId="61" xfId="6" applyNumberFormat="1" applyFont="1" applyFill="1" applyBorder="1" applyAlignment="1">
      <alignment horizontal="center" vertical="top" wrapText="1"/>
    </xf>
    <xf numFmtId="172" fontId="1" fillId="23" borderId="21" xfId="6" applyNumberFormat="1" applyFont="1" applyFill="1" applyBorder="1" applyAlignment="1">
      <alignment horizontal="center" vertical="top" wrapText="1"/>
    </xf>
    <xf numFmtId="172" fontId="5" fillId="3" borderId="30" xfId="6" applyNumberFormat="1" applyFont="1" applyFill="1" applyBorder="1" applyAlignment="1">
      <alignment horizontal="center" vertical="top" wrapText="1"/>
    </xf>
    <xf numFmtId="9" fontId="20" fillId="0" borderId="21" xfId="10" applyFont="1" applyFill="1" applyBorder="1" applyAlignment="1">
      <alignment horizontal="left" vertical="top" wrapText="1"/>
    </xf>
    <xf numFmtId="172" fontId="5" fillId="0" borderId="45" xfId="6" applyNumberFormat="1" applyFont="1" applyFill="1" applyBorder="1" applyAlignment="1">
      <alignment horizontal="center" vertical="top" wrapText="1"/>
    </xf>
    <xf numFmtId="9" fontId="20" fillId="0" borderId="21" xfId="10" applyFont="1" applyFill="1" applyBorder="1" applyAlignment="1">
      <alignment horizontal="center" vertical="top" wrapText="1"/>
    </xf>
    <xf numFmtId="172" fontId="1" fillId="23" borderId="67" xfId="6" applyNumberFormat="1" applyFont="1" applyFill="1" applyBorder="1" applyAlignment="1">
      <alignment horizontal="center" vertical="top" wrapText="1"/>
    </xf>
    <xf numFmtId="10" fontId="20" fillId="3" borderId="33" xfId="10" applyNumberFormat="1" applyFont="1" applyFill="1" applyBorder="1" applyAlignment="1">
      <alignment horizontal="center" vertical="top" wrapText="1"/>
    </xf>
    <xf numFmtId="3" fontId="5" fillId="0" borderId="16" xfId="0" applyNumberFormat="1" applyFont="1" applyBorder="1" applyAlignment="1">
      <alignment horizontal="center" vertical="top" wrapText="1"/>
    </xf>
    <xf numFmtId="3" fontId="10" fillId="0" borderId="30" xfId="1" applyNumberFormat="1" applyFont="1" applyBorder="1" applyAlignment="1">
      <alignment horizontal="center" vertical="top" wrapText="1"/>
    </xf>
    <xf numFmtId="3" fontId="10" fillId="23" borderId="61" xfId="1" applyNumberFormat="1" applyFont="1" applyFill="1" applyBorder="1" applyAlignment="1">
      <alignment horizontal="center" vertical="top" wrapText="1"/>
    </xf>
    <xf numFmtId="0" fontId="9" fillId="0" borderId="21" xfId="1" applyFont="1" applyBorder="1" applyAlignment="1">
      <alignment horizontal="center"/>
    </xf>
    <xf numFmtId="3" fontId="10" fillId="3" borderId="61" xfId="1" applyNumberFormat="1" applyFont="1" applyFill="1" applyBorder="1" applyAlignment="1">
      <alignment horizontal="center" vertical="top" wrapText="1"/>
    </xf>
    <xf numFmtId="3" fontId="10" fillId="3" borderId="21" xfId="1" applyNumberFormat="1" applyFont="1" applyFill="1" applyBorder="1" applyAlignment="1">
      <alignment horizontal="center" vertical="top" wrapText="1"/>
    </xf>
    <xf numFmtId="3" fontId="10" fillId="3" borderId="30" xfId="1" applyNumberFormat="1" applyFont="1" applyFill="1" applyBorder="1" applyAlignment="1">
      <alignment horizontal="center" vertical="top" wrapText="1"/>
    </xf>
    <xf numFmtId="3" fontId="10" fillId="0" borderId="22" xfId="1" applyNumberFormat="1" applyFont="1" applyBorder="1" applyAlignment="1">
      <alignment horizontal="center" vertical="top" wrapText="1"/>
    </xf>
    <xf numFmtId="3" fontId="10" fillId="3" borderId="62" xfId="1" applyNumberFormat="1" applyFont="1" applyFill="1" applyBorder="1" applyAlignment="1">
      <alignment horizontal="center" vertical="top" wrapText="1"/>
    </xf>
    <xf numFmtId="3" fontId="10" fillId="3" borderId="47" xfId="1" applyNumberFormat="1" applyFont="1" applyFill="1" applyBorder="1" applyAlignment="1">
      <alignment horizontal="center" vertical="top" wrapText="1"/>
    </xf>
    <xf numFmtId="0" fontId="30" fillId="0" borderId="74" xfId="0" applyFont="1" applyBorder="1" applyAlignment="1">
      <alignment horizontal="center" vertical="top" wrapText="1"/>
    </xf>
    <xf numFmtId="0" fontId="30" fillId="0" borderId="21" xfId="0" applyFont="1" applyBorder="1" applyAlignment="1">
      <alignment horizontal="center" vertical="top" wrapText="1"/>
    </xf>
    <xf numFmtId="1" fontId="1" fillId="3" borderId="44" xfId="0" applyNumberFormat="1" applyFont="1" applyFill="1" applyBorder="1" applyAlignment="1">
      <alignment horizontal="center" vertical="top" wrapText="1"/>
    </xf>
    <xf numFmtId="1" fontId="1" fillId="3" borderId="21" xfId="0" applyNumberFormat="1" applyFont="1" applyFill="1" applyBorder="1" applyAlignment="1">
      <alignment horizontal="center" vertical="top" wrapText="1"/>
    </xf>
    <xf numFmtId="1" fontId="1" fillId="3" borderId="32" xfId="0" applyNumberFormat="1" applyFont="1" applyFill="1" applyBorder="1" applyAlignment="1">
      <alignment horizontal="center" vertical="top" wrapText="1"/>
    </xf>
    <xf numFmtId="9" fontId="5" fillId="3" borderId="22" xfId="10" applyFont="1" applyFill="1" applyBorder="1" applyAlignment="1">
      <alignment horizontal="center" vertical="top" wrapText="1"/>
    </xf>
    <xf numFmtId="1" fontId="5" fillId="3" borderId="47" xfId="0" applyNumberFormat="1" applyFont="1" applyFill="1" applyBorder="1" applyAlignment="1">
      <alignment horizontal="center" vertical="top" wrapText="1"/>
    </xf>
    <xf numFmtId="9" fontId="1" fillId="0" borderId="33" xfId="10" applyFont="1" applyBorder="1" applyAlignment="1">
      <alignment horizontal="center" vertical="top" wrapText="1"/>
    </xf>
    <xf numFmtId="1" fontId="1" fillId="0" borderId="32" xfId="0" applyNumberFormat="1" applyFont="1" applyBorder="1" applyAlignment="1">
      <alignment horizontal="center" vertical="top" wrapText="1"/>
    </xf>
    <xf numFmtId="165" fontId="11" fillId="0" borderId="25" xfId="0" applyNumberFormat="1" applyFont="1" applyBorder="1" applyAlignment="1">
      <alignment horizontal="center" vertical="top" wrapText="1"/>
    </xf>
    <xf numFmtId="165" fontId="11" fillId="10" borderId="21" xfId="0" applyNumberFormat="1" applyFont="1" applyFill="1" applyBorder="1" applyAlignment="1">
      <alignment horizontal="center" vertical="top" wrapText="1"/>
    </xf>
    <xf numFmtId="165" fontId="11" fillId="10" borderId="56" xfId="0" applyNumberFormat="1" applyFont="1" applyFill="1" applyBorder="1" applyAlignment="1">
      <alignment horizontal="center" vertical="top" wrapText="1"/>
    </xf>
    <xf numFmtId="9" fontId="10" fillId="0" borderId="74" xfId="0" applyNumberFormat="1" applyFont="1" applyBorder="1" applyAlignment="1">
      <alignment horizontal="center" vertical="top" wrapText="1"/>
    </xf>
    <xf numFmtId="9" fontId="10" fillId="0" borderId="21" xfId="0" applyNumberFormat="1" applyFont="1" applyBorder="1" applyAlignment="1">
      <alignment horizontal="center" vertical="top" wrapText="1"/>
    </xf>
    <xf numFmtId="0" fontId="10" fillId="0" borderId="73" xfId="0" applyFont="1" applyBorder="1" applyAlignment="1">
      <alignment horizontal="center" vertical="top" wrapText="1"/>
    </xf>
    <xf numFmtId="9" fontId="14" fillId="0" borderId="33" xfId="10" applyFont="1" applyBorder="1" applyAlignment="1">
      <alignment horizontal="center" vertical="top" wrapText="1"/>
    </xf>
    <xf numFmtId="9" fontId="1" fillId="23" borderId="67" xfId="10" applyFont="1" applyFill="1" applyBorder="1" applyAlignment="1">
      <alignment horizontal="center" vertical="top" wrapText="1"/>
    </xf>
    <xf numFmtId="1" fontId="14" fillId="0" borderId="32" xfId="0" applyNumberFormat="1" applyFont="1" applyBorder="1" applyAlignment="1">
      <alignment horizontal="center" vertical="top" wrapText="1"/>
    </xf>
    <xf numFmtId="9" fontId="10" fillId="3" borderId="65" xfId="10" applyFont="1" applyFill="1" applyBorder="1" applyAlignment="1">
      <alignment horizontal="center" vertical="top" wrapText="1"/>
    </xf>
    <xf numFmtId="3" fontId="9" fillId="23" borderId="75" xfId="1" applyNumberFormat="1" applyFont="1" applyFill="1" applyBorder="1" applyAlignment="1">
      <alignment horizontal="center" vertical="top" wrapText="1"/>
    </xf>
    <xf numFmtId="3" fontId="10" fillId="3" borderId="76" xfId="1" applyNumberFormat="1" applyFont="1" applyFill="1" applyBorder="1" applyAlignment="1">
      <alignment horizontal="center" vertical="top" wrapText="1"/>
    </xf>
    <xf numFmtId="0" fontId="9" fillId="0" borderId="21" xfId="1" applyFont="1" applyBorder="1" applyAlignment="1">
      <alignment horizontal="center" vertical="top" wrapText="1"/>
    </xf>
    <xf numFmtId="1" fontId="5" fillId="0" borderId="62" xfId="0" applyNumberFormat="1" applyFont="1" applyBorder="1" applyAlignment="1">
      <alignment horizontal="center" vertical="top" wrapText="1"/>
    </xf>
    <xf numFmtId="1" fontId="5" fillId="0" borderId="21" xfId="0" applyNumberFormat="1" applyFont="1" applyBorder="1" applyAlignment="1">
      <alignment horizontal="center" vertical="top" wrapText="1"/>
    </xf>
    <xf numFmtId="1" fontId="5" fillId="3" borderId="62" xfId="0" applyNumberFormat="1" applyFont="1" applyFill="1" applyBorder="1" applyAlignment="1">
      <alignment horizontal="center" vertical="top" wrapText="1"/>
    </xf>
    <xf numFmtId="1" fontId="5" fillId="3" borderId="21" xfId="0" applyNumberFormat="1" applyFont="1" applyFill="1" applyBorder="1" applyAlignment="1">
      <alignment horizontal="center" vertical="top" wrapText="1"/>
    </xf>
    <xf numFmtId="9" fontId="1" fillId="3" borderId="22" xfId="10" applyFont="1" applyFill="1" applyBorder="1" applyAlignment="1">
      <alignment horizontal="center" vertical="top" wrapText="1"/>
    </xf>
    <xf numFmtId="1" fontId="1" fillId="23" borderId="62" xfId="0" applyNumberFormat="1" applyFont="1" applyFill="1" applyBorder="1" applyAlignment="1">
      <alignment horizontal="center" vertical="top" wrapText="1"/>
    </xf>
    <xf numFmtId="1" fontId="1" fillId="23" borderId="44" xfId="0" applyNumberFormat="1" applyFont="1" applyFill="1" applyBorder="1" applyAlignment="1">
      <alignment horizontal="center" vertical="top" wrapText="1"/>
    </xf>
    <xf numFmtId="0" fontId="9" fillId="0" borderId="22" xfId="1" applyFont="1" applyBorder="1" applyAlignment="1">
      <alignment horizontal="center"/>
    </xf>
    <xf numFmtId="0" fontId="9" fillId="19" borderId="21" xfId="1" applyFont="1" applyFill="1" applyBorder="1" applyAlignment="1">
      <alignment horizontal="center"/>
    </xf>
    <xf numFmtId="0" fontId="9" fillId="0" borderId="0" xfId="1" applyFont="1" applyAlignment="1">
      <alignment vertical="top"/>
    </xf>
    <xf numFmtId="0" fontId="3" fillId="10" borderId="57" xfId="1" applyFont="1" applyFill="1" applyBorder="1" applyAlignment="1">
      <alignment vertical="top" wrapText="1"/>
    </xf>
    <xf numFmtId="0" fontId="3" fillId="10" borderId="13" xfId="1" applyFont="1" applyFill="1" applyBorder="1" applyAlignment="1">
      <alignment vertical="top" wrapText="1"/>
    </xf>
    <xf numFmtId="0" fontId="5" fillId="3" borderId="0" xfId="1" applyFont="1" applyFill="1" applyAlignment="1">
      <alignment vertical="top" wrapText="1"/>
    </xf>
    <xf numFmtId="0" fontId="3" fillId="10" borderId="7" xfId="1" applyFont="1" applyFill="1" applyBorder="1" applyAlignment="1">
      <alignment vertical="top" wrapText="1"/>
    </xf>
    <xf numFmtId="0" fontId="3" fillId="10" borderId="39" xfId="1" applyFont="1" applyFill="1" applyBorder="1" applyAlignment="1">
      <alignment vertical="top" wrapText="1"/>
    </xf>
    <xf numFmtId="0" fontId="5" fillId="13" borderId="1" xfId="1" applyFont="1" applyFill="1" applyBorder="1" applyAlignment="1">
      <alignment horizontal="left" vertical="top" wrapText="1"/>
    </xf>
    <xf numFmtId="9" fontId="1" fillId="7" borderId="12" xfId="1" applyNumberFormat="1" applyFill="1" applyBorder="1" applyAlignment="1">
      <alignment horizontal="left" vertical="top" wrapText="1"/>
    </xf>
    <xf numFmtId="9" fontId="1" fillId="7" borderId="18" xfId="1" applyNumberFormat="1" applyFill="1" applyBorder="1" applyAlignment="1">
      <alignment horizontal="left" vertical="top" wrapText="1"/>
    </xf>
    <xf numFmtId="6" fontId="5" fillId="13" borderId="1" xfId="1" applyNumberFormat="1" applyFont="1" applyFill="1" applyBorder="1" applyAlignment="1">
      <alignment horizontal="left" vertical="top" wrapText="1"/>
    </xf>
    <xf numFmtId="0" fontId="3" fillId="10" borderId="21" xfId="1" applyFont="1" applyFill="1" applyBorder="1" applyAlignment="1">
      <alignment vertical="top" wrapText="1"/>
    </xf>
    <xf numFmtId="0" fontId="3" fillId="10" borderId="21" xfId="3" applyFont="1" applyFill="1" applyBorder="1" applyAlignment="1">
      <alignment vertical="top" wrapText="1"/>
    </xf>
    <xf numFmtId="6" fontId="5" fillId="13" borderId="12" xfId="1" applyNumberFormat="1" applyFont="1" applyFill="1" applyBorder="1" applyAlignment="1">
      <alignment horizontal="left" vertical="top" wrapText="1"/>
    </xf>
    <xf numFmtId="6" fontId="5" fillId="3" borderId="12" xfId="1" applyNumberFormat="1" applyFont="1" applyFill="1" applyBorder="1" applyAlignment="1">
      <alignment horizontal="left" vertical="top" wrapText="1"/>
    </xf>
    <xf numFmtId="6" fontId="3" fillId="10" borderId="1" xfId="1" applyNumberFormat="1" applyFont="1" applyFill="1" applyBorder="1" applyAlignment="1">
      <alignment horizontal="left" vertical="top" wrapText="1"/>
    </xf>
    <xf numFmtId="0" fontId="1" fillId="0" borderId="0" xfId="1" applyAlignment="1">
      <alignment vertical="top"/>
    </xf>
    <xf numFmtId="0" fontId="3" fillId="10" borderId="1" xfId="1" applyFont="1" applyFill="1" applyBorder="1" applyAlignment="1">
      <alignment vertical="top" wrapText="1"/>
    </xf>
    <xf numFmtId="0" fontId="1" fillId="7" borderId="0" xfId="1" applyFill="1" applyAlignment="1">
      <alignment horizontal="center" vertical="top" wrapText="1"/>
    </xf>
    <xf numFmtId="0" fontId="5" fillId="13" borderId="1" xfId="1" applyFont="1" applyFill="1" applyBorder="1" applyAlignment="1">
      <alignment vertical="top" wrapText="1"/>
    </xf>
    <xf numFmtId="0" fontId="3" fillId="10" borderId="14" xfId="1" applyFont="1" applyFill="1" applyBorder="1" applyAlignment="1">
      <alignment vertical="top" wrapText="1"/>
    </xf>
    <xf numFmtId="0" fontId="5" fillId="13" borderId="12" xfId="1" applyFont="1" applyFill="1" applyBorder="1" applyAlignment="1">
      <alignment vertical="top" wrapText="1"/>
    </xf>
    <xf numFmtId="0" fontId="5" fillId="3" borderId="12" xfId="1" applyFont="1" applyFill="1" applyBorder="1" applyAlignment="1">
      <alignment vertical="top" wrapText="1"/>
    </xf>
    <xf numFmtId="9" fontId="5" fillId="3" borderId="21" xfId="10" applyFont="1" applyFill="1" applyBorder="1" applyAlignment="1">
      <alignment horizontal="center" vertical="center" wrapText="1"/>
    </xf>
    <xf numFmtId="3" fontId="5" fillId="0" borderId="21" xfId="3" applyNumberFormat="1" applyFont="1" applyBorder="1" applyAlignment="1">
      <alignment horizontal="right" vertical="center" wrapText="1"/>
    </xf>
    <xf numFmtId="3" fontId="1" fillId="0" borderId="21" xfId="3" applyNumberFormat="1" applyBorder="1" applyAlignment="1">
      <alignment horizontal="right" vertical="center" wrapText="1"/>
    </xf>
    <xf numFmtId="49" fontId="2" fillId="9" borderId="0" xfId="3" applyNumberFormat="1" applyFont="1" applyFill="1" applyAlignment="1">
      <alignment horizontal="right" vertical="center" wrapText="1"/>
    </xf>
    <xf numFmtId="0" fontId="3" fillId="10" borderId="21" xfId="3" applyFont="1" applyFill="1" applyBorder="1" applyAlignment="1">
      <alignment vertical="center" wrapText="1"/>
    </xf>
    <xf numFmtId="165" fontId="4" fillId="11" borderId="21" xfId="3" applyNumberFormat="1" applyFont="1" applyFill="1" applyBorder="1" applyAlignment="1">
      <alignment horizontal="center" vertical="center" wrapText="1"/>
    </xf>
    <xf numFmtId="0" fontId="1" fillId="0" borderId="21" xfId="3" applyBorder="1" applyAlignment="1">
      <alignment horizontal="left" vertical="center" wrapText="1"/>
    </xf>
    <xf numFmtId="0" fontId="1" fillId="15" borderId="21" xfId="3" applyFill="1" applyBorder="1" applyAlignment="1">
      <alignment horizontal="left" vertical="center" wrapText="1"/>
    </xf>
    <xf numFmtId="3" fontId="5" fillId="15" borderId="21" xfId="3" applyNumberFormat="1" applyFont="1" applyFill="1" applyBorder="1" applyAlignment="1">
      <alignment horizontal="right" vertical="center" wrapText="1"/>
    </xf>
    <xf numFmtId="3" fontId="1" fillId="15" borderId="21" xfId="3" applyNumberFormat="1" applyFill="1" applyBorder="1" applyAlignment="1">
      <alignment horizontal="right" vertical="center" wrapText="1"/>
    </xf>
    <xf numFmtId="0" fontId="5" fillId="0" borderId="21" xfId="3" applyFont="1" applyBorder="1" applyAlignment="1">
      <alignment horizontal="left" vertical="center" wrapText="1"/>
    </xf>
    <xf numFmtId="3" fontId="5" fillId="12" borderId="21" xfId="3" applyNumberFormat="1" applyFont="1" applyFill="1" applyBorder="1" applyAlignment="1">
      <alignment horizontal="right" vertical="center" wrapText="1"/>
    </xf>
    <xf numFmtId="3" fontId="1" fillId="12" borderId="21" xfId="3" applyNumberFormat="1" applyFill="1" applyBorder="1" applyAlignment="1">
      <alignment horizontal="right" vertical="center" wrapText="1"/>
    </xf>
    <xf numFmtId="3" fontId="6" fillId="12" borderId="21" xfId="3" applyNumberFormat="1" applyFont="1" applyFill="1" applyBorder="1" applyAlignment="1">
      <alignment horizontal="right" vertical="center" wrapText="1"/>
    </xf>
    <xf numFmtId="3" fontId="6" fillId="0" borderId="21" xfId="3" applyNumberFormat="1" applyFont="1" applyBorder="1" applyAlignment="1">
      <alignment horizontal="right" vertical="center" wrapText="1"/>
    </xf>
    <xf numFmtId="0" fontId="3" fillId="10" borderId="0" xfId="3" applyFont="1" applyFill="1" applyAlignment="1">
      <alignment vertical="center" wrapText="1"/>
    </xf>
    <xf numFmtId="0" fontId="3" fillId="10" borderId="0" xfId="3" applyFont="1" applyFill="1" applyAlignment="1">
      <alignment horizontal="center" vertical="center" wrapText="1"/>
    </xf>
    <xf numFmtId="165" fontId="3" fillId="10" borderId="0" xfId="3" applyNumberFormat="1" applyFont="1" applyFill="1" applyAlignment="1">
      <alignment horizontal="center" vertical="center" wrapText="1"/>
    </xf>
    <xf numFmtId="167" fontId="5" fillId="15" borderId="53" xfId="3" applyNumberFormat="1" applyFont="1" applyFill="1" applyBorder="1" applyAlignment="1">
      <alignment horizontal="right" vertical="center" wrapText="1"/>
    </xf>
    <xf numFmtId="167" fontId="5" fillId="15" borderId="54" xfId="3" applyNumberFormat="1" applyFont="1" applyFill="1" applyBorder="1" applyAlignment="1">
      <alignment horizontal="right" vertical="center" wrapText="1"/>
    </xf>
    <xf numFmtId="0" fontId="1" fillId="0" borderId="0" xfId="3" applyAlignment="1">
      <alignment horizontal="center" vertical="center" wrapText="1"/>
    </xf>
    <xf numFmtId="167" fontId="1" fillId="15" borderId="55" xfId="3" applyNumberFormat="1" applyFill="1" applyBorder="1" applyAlignment="1">
      <alignment horizontal="right" vertical="center" wrapText="1"/>
    </xf>
    <xf numFmtId="0" fontId="1" fillId="3" borderId="21" xfId="3" applyFill="1" applyBorder="1" applyAlignment="1">
      <alignment horizontal="left" vertical="center" wrapText="1"/>
    </xf>
    <xf numFmtId="0" fontId="1" fillId="3" borderId="0" xfId="3" applyFill="1" applyAlignment="1">
      <alignment horizontal="center" vertical="center" wrapText="1"/>
    </xf>
    <xf numFmtId="0" fontId="1" fillId="3" borderId="0" xfId="3" applyFill="1" applyAlignment="1">
      <alignment vertical="center" wrapText="1"/>
    </xf>
    <xf numFmtId="0" fontId="5" fillId="26" borderId="21" xfId="3" applyFont="1" applyFill="1" applyBorder="1" applyAlignment="1">
      <alignment horizontal="left" vertical="center" wrapText="1"/>
    </xf>
    <xf numFmtId="0" fontId="1" fillId="26" borderId="21" xfId="3" applyFill="1" applyBorder="1" applyAlignment="1">
      <alignment horizontal="left" vertical="center" wrapText="1"/>
    </xf>
    <xf numFmtId="167" fontId="1" fillId="0" borderId="0" xfId="3" applyNumberFormat="1" applyAlignment="1">
      <alignment vertical="center" wrapText="1"/>
    </xf>
    <xf numFmtId="3" fontId="5" fillId="3" borderId="21" xfId="3" applyNumberFormat="1" applyFont="1" applyFill="1" applyBorder="1" applyAlignment="1">
      <alignment horizontal="right" vertical="center" wrapText="1"/>
    </xf>
    <xf numFmtId="166" fontId="1" fillId="0" borderId="21" xfId="3" applyNumberFormat="1" applyBorder="1" applyAlignment="1">
      <alignment horizontal="right" vertical="center" wrapText="1"/>
    </xf>
    <xf numFmtId="3" fontId="1" fillId="3" borderId="21" xfId="3" applyNumberFormat="1" applyFill="1" applyBorder="1" applyAlignment="1">
      <alignment horizontal="right" vertical="center" wrapText="1"/>
    </xf>
    <xf numFmtId="168" fontId="5" fillId="12" borderId="21" xfId="4" applyNumberFormat="1" applyFont="1" applyFill="1" applyBorder="1" applyAlignment="1">
      <alignment horizontal="right" vertical="center" wrapText="1"/>
    </xf>
    <xf numFmtId="9" fontId="1" fillId="15" borderId="21" xfId="4" applyFont="1" applyFill="1" applyBorder="1" applyAlignment="1">
      <alignment horizontal="left" vertical="center" wrapText="1"/>
    </xf>
    <xf numFmtId="3" fontId="1" fillId="24" borderId="21" xfId="7" applyNumberFormat="1" applyFont="1" applyFill="1" applyBorder="1" applyAlignment="1">
      <alignment horizontal="center" vertical="center" wrapText="1"/>
    </xf>
    <xf numFmtId="3" fontId="1" fillId="14" borderId="21" xfId="3" applyNumberFormat="1" applyFill="1" applyBorder="1" applyAlignment="1">
      <alignment horizontal="center" vertical="center" wrapText="1"/>
    </xf>
    <xf numFmtId="6" fontId="1" fillId="3" borderId="21" xfId="3" applyNumberFormat="1" applyFill="1" applyBorder="1" applyAlignment="1">
      <alignment horizontal="center" vertical="top" wrapText="1"/>
    </xf>
    <xf numFmtId="3" fontId="1" fillId="25" borderId="21" xfId="7" applyNumberFormat="1" applyFont="1" applyFill="1" applyBorder="1" applyAlignment="1">
      <alignment horizontal="center" vertical="center" wrapText="1"/>
    </xf>
    <xf numFmtId="0" fontId="5" fillId="13" borderId="21" xfId="3" applyFont="1" applyFill="1" applyBorder="1" applyAlignment="1">
      <alignment horizontal="left" vertical="center" wrapText="1"/>
    </xf>
    <xf numFmtId="9" fontId="1" fillId="7" borderId="21" xfId="3" applyNumberFormat="1" applyFill="1" applyBorder="1" applyAlignment="1">
      <alignment horizontal="left" vertical="center" wrapText="1"/>
    </xf>
    <xf numFmtId="0" fontId="5" fillId="15" borderId="0" xfId="3" applyFont="1" applyFill="1" applyAlignment="1">
      <alignment horizontal="left" vertical="center" wrapText="1"/>
    </xf>
    <xf numFmtId="3" fontId="5" fillId="15" borderId="21" xfId="3" applyNumberFormat="1" applyFont="1" applyFill="1" applyBorder="1" applyAlignment="1">
      <alignment horizontal="center" vertical="center" wrapText="1"/>
    </xf>
    <xf numFmtId="9" fontId="1" fillId="15" borderId="21" xfId="13" applyFont="1" applyFill="1" applyBorder="1" applyAlignment="1">
      <alignment horizontal="center" vertical="center" wrapText="1"/>
    </xf>
    <xf numFmtId="9" fontId="1" fillId="15" borderId="21" xfId="13" applyFont="1" applyFill="1" applyBorder="1" applyAlignment="1">
      <alignment horizontal="left" vertical="center" wrapText="1"/>
    </xf>
    <xf numFmtId="168" fontId="5" fillId="12" borderId="21" xfId="4" applyNumberFormat="1" applyFont="1" applyFill="1" applyBorder="1" applyAlignment="1">
      <alignment horizontal="center" vertical="center" wrapText="1"/>
    </xf>
    <xf numFmtId="9" fontId="1" fillId="0" borderId="21" xfId="13" applyFont="1" applyBorder="1" applyAlignment="1">
      <alignment horizontal="center" vertical="center" wrapText="1"/>
    </xf>
    <xf numFmtId="3" fontId="1" fillId="3" borderId="21" xfId="3" applyNumberFormat="1" applyFill="1" applyBorder="1" applyAlignment="1">
      <alignment horizontal="left" vertical="center" wrapText="1"/>
    </xf>
    <xf numFmtId="9" fontId="1" fillId="3" borderId="21" xfId="13" applyFont="1" applyFill="1" applyBorder="1" applyAlignment="1">
      <alignment horizontal="center" vertical="center" wrapText="1"/>
    </xf>
    <xf numFmtId="3" fontId="1" fillId="27" borderId="21" xfId="7" applyNumberFormat="1" applyFont="1" applyFill="1" applyBorder="1" applyAlignment="1">
      <alignment horizontal="center" vertical="center" wrapText="1"/>
    </xf>
    <xf numFmtId="9" fontId="5" fillId="0" borderId="21" xfId="13" applyFont="1" applyBorder="1" applyAlignment="1">
      <alignment horizontal="center" vertical="center" wrapText="1"/>
    </xf>
    <xf numFmtId="0" fontId="1" fillId="0" borderId="0" xfId="3" applyAlignment="1">
      <alignment horizontal="left" vertical="center" wrapText="1"/>
    </xf>
    <xf numFmtId="0" fontId="5" fillId="13" borderId="8" xfId="1" applyFont="1" applyFill="1" applyBorder="1" applyAlignment="1">
      <alignment horizontal="center" vertical="center" wrapText="1"/>
    </xf>
    <xf numFmtId="3" fontId="5" fillId="3" borderId="18" xfId="1" applyNumberFormat="1" applyFont="1" applyFill="1" applyBorder="1" applyAlignment="1">
      <alignment horizontal="center" vertical="center" wrapText="1"/>
    </xf>
    <xf numFmtId="3" fontId="5" fillId="3" borderId="14" xfId="1" applyNumberFormat="1" applyFont="1" applyFill="1" applyBorder="1" applyAlignment="1">
      <alignment horizontal="center" vertical="center" wrapText="1"/>
    </xf>
    <xf numFmtId="0" fontId="1" fillId="0" borderId="8" xfId="1" applyBorder="1" applyAlignment="1">
      <alignment horizontal="center" vertical="center" wrapText="1"/>
    </xf>
    <xf numFmtId="0" fontId="5" fillId="13" borderId="7" xfId="1" applyFont="1" applyFill="1" applyBorder="1" applyAlignment="1">
      <alignment horizontal="center" vertical="center" wrapText="1"/>
    </xf>
    <xf numFmtId="0" fontId="5" fillId="13" borderId="2" xfId="1" applyFont="1" applyFill="1" applyBorder="1" applyAlignment="1">
      <alignment horizontal="center" vertical="center" wrapText="1"/>
    </xf>
    <xf numFmtId="0" fontId="5" fillId="20" borderId="14" xfId="1" applyFont="1" applyFill="1" applyBorder="1" applyAlignment="1">
      <alignment horizontal="center" vertical="center" wrapText="1"/>
    </xf>
    <xf numFmtId="0" fontId="5" fillId="20" borderId="18" xfId="1" applyFont="1" applyFill="1" applyBorder="1" applyAlignment="1">
      <alignment horizontal="center" vertical="center" wrapText="1"/>
    </xf>
    <xf numFmtId="0" fontId="5" fillId="20" borderId="39" xfId="1" applyFont="1" applyFill="1" applyBorder="1" applyAlignment="1">
      <alignment horizontal="center" vertical="center" wrapText="1"/>
    </xf>
    <xf numFmtId="0" fontId="5" fillId="20" borderId="12" xfId="1" applyFont="1" applyFill="1" applyBorder="1" applyAlignment="1">
      <alignment horizontal="center" vertical="center" wrapText="1"/>
    </xf>
    <xf numFmtId="3" fontId="5" fillId="0" borderId="18" xfId="1" applyNumberFormat="1" applyFont="1" applyBorder="1" applyAlignment="1">
      <alignment horizontal="center" vertical="center" wrapText="1"/>
    </xf>
    <xf numFmtId="168" fontId="5" fillId="3" borderId="14" xfId="4" applyNumberFormat="1" applyFont="1" applyFill="1" applyBorder="1" applyAlignment="1">
      <alignment horizontal="center" vertical="center" wrapText="1"/>
    </xf>
    <xf numFmtId="168" fontId="5" fillId="3" borderId="12" xfId="4" applyNumberFormat="1" applyFont="1" applyFill="1" applyBorder="1" applyAlignment="1">
      <alignment horizontal="center" vertical="center" wrapText="1"/>
    </xf>
    <xf numFmtId="175" fontId="1" fillId="3" borderId="16" xfId="1" applyNumberFormat="1" applyFill="1" applyBorder="1" applyAlignment="1">
      <alignment horizontal="center" vertical="center" wrapText="1"/>
    </xf>
    <xf numFmtId="175" fontId="1" fillId="3" borderId="21" xfId="1" applyNumberFormat="1" applyFill="1" applyBorder="1" applyAlignment="1">
      <alignment horizontal="center" vertical="center" wrapText="1"/>
    </xf>
    <xf numFmtId="43" fontId="21" fillId="22" borderId="0" xfId="2" applyFont="1" applyFill="1" applyAlignment="1">
      <alignment vertical="center"/>
    </xf>
    <xf numFmtId="175" fontId="40" fillId="3" borderId="16" xfId="1" applyNumberFormat="1" applyFont="1" applyFill="1" applyBorder="1" applyAlignment="1">
      <alignment horizontal="center" vertical="center" wrapText="1"/>
    </xf>
    <xf numFmtId="175" fontId="37" fillId="3" borderId="16" xfId="1" applyNumberFormat="1" applyFont="1" applyFill="1" applyBorder="1" applyAlignment="1">
      <alignment horizontal="center" vertical="center" wrapText="1"/>
    </xf>
    <xf numFmtId="175" fontId="42" fillId="3" borderId="16" xfId="1" applyNumberFormat="1" applyFont="1" applyFill="1" applyBorder="1" applyAlignment="1">
      <alignment horizontal="center" vertical="center" wrapText="1"/>
    </xf>
    <xf numFmtId="175" fontId="22" fillId="3" borderId="50" xfId="1" applyNumberFormat="1" applyFont="1" applyFill="1" applyBorder="1" applyAlignment="1">
      <alignment horizontal="center" vertical="center" wrapText="1"/>
    </xf>
    <xf numFmtId="175" fontId="22" fillId="3" borderId="70" xfId="1" applyNumberFormat="1" applyFont="1" applyFill="1" applyBorder="1" applyAlignment="1">
      <alignment horizontal="center" vertical="center" wrapText="1"/>
    </xf>
    <xf numFmtId="175" fontId="22" fillId="3" borderId="67" xfId="1" applyNumberFormat="1" applyFont="1" applyFill="1" applyBorder="1" applyAlignment="1">
      <alignment horizontal="center" vertical="center" wrapText="1"/>
    </xf>
    <xf numFmtId="175" fontId="40" fillId="3" borderId="21" xfId="1" applyNumberFormat="1" applyFont="1" applyFill="1" applyBorder="1" applyAlignment="1">
      <alignment horizontal="center" vertical="center" wrapText="1"/>
    </xf>
    <xf numFmtId="175" fontId="1" fillId="0" borderId="16" xfId="1" applyNumberFormat="1" applyBorder="1" applyAlignment="1">
      <alignment horizontal="center" vertical="center" wrapText="1"/>
    </xf>
    <xf numFmtId="175" fontId="40" fillId="0" borderId="16" xfId="1" applyNumberFormat="1" applyFont="1" applyBorder="1" applyAlignment="1">
      <alignment horizontal="center" vertical="center" wrapText="1"/>
    </xf>
    <xf numFmtId="175" fontId="42" fillId="0" borderId="16" xfId="1" applyNumberFormat="1" applyFont="1" applyBorder="1" applyAlignment="1">
      <alignment horizontal="center" vertical="center" wrapText="1"/>
    </xf>
    <xf numFmtId="175" fontId="1" fillId="0" borderId="21" xfId="1" applyNumberFormat="1" applyBorder="1" applyAlignment="1">
      <alignment horizontal="center" vertical="center" wrapText="1"/>
    </xf>
    <xf numFmtId="175" fontId="37" fillId="3" borderId="21" xfId="1" applyNumberFormat="1" applyFont="1" applyFill="1" applyBorder="1" applyAlignment="1">
      <alignment horizontal="center" vertical="center" wrapText="1"/>
    </xf>
    <xf numFmtId="175" fontId="42" fillId="3" borderId="21" xfId="1" applyNumberFormat="1" applyFont="1" applyFill="1" applyBorder="1" applyAlignment="1">
      <alignment horizontal="center" vertical="center" wrapText="1"/>
    </xf>
    <xf numFmtId="0" fontId="5" fillId="28" borderId="4" xfId="1" applyFont="1" applyFill="1" applyBorder="1" applyAlignment="1">
      <alignment horizontal="left" vertical="center" wrapText="1"/>
    </xf>
    <xf numFmtId="167" fontId="5" fillId="28" borderId="36" xfId="1" applyNumberFormat="1" applyFont="1" applyFill="1" applyBorder="1" applyAlignment="1">
      <alignment horizontal="center" vertical="center" wrapText="1"/>
    </xf>
    <xf numFmtId="167" fontId="5" fillId="28" borderId="10" xfId="1" applyNumberFormat="1" applyFont="1" applyFill="1" applyBorder="1" applyAlignment="1">
      <alignment horizontal="center" vertical="center" wrapText="1"/>
    </xf>
    <xf numFmtId="167" fontId="5" fillId="28" borderId="66" xfId="1" applyNumberFormat="1" applyFont="1" applyFill="1" applyBorder="1" applyAlignment="1">
      <alignment horizontal="center" vertical="center" wrapText="1"/>
    </xf>
    <xf numFmtId="0" fontId="5" fillId="28" borderId="2" xfId="1" applyFont="1" applyFill="1" applyBorder="1" applyAlignment="1">
      <alignment horizontal="left" vertical="center" wrapText="1"/>
    </xf>
    <xf numFmtId="168" fontId="5" fillId="28" borderId="25" xfId="4" applyNumberFormat="1" applyFont="1" applyFill="1" applyBorder="1" applyAlignment="1">
      <alignment horizontal="center" vertical="center" wrapText="1"/>
    </xf>
    <xf numFmtId="3" fontId="5" fillId="28" borderId="25" xfId="1" applyNumberFormat="1" applyFont="1" applyFill="1" applyBorder="1" applyAlignment="1">
      <alignment horizontal="center" vertical="center" wrapText="1"/>
    </xf>
    <xf numFmtId="3" fontId="5" fillId="28" borderId="60" xfId="1" applyNumberFormat="1" applyFont="1" applyFill="1" applyBorder="1" applyAlignment="1">
      <alignment horizontal="center" vertical="center" wrapText="1"/>
    </xf>
    <xf numFmtId="3" fontId="1" fillId="28" borderId="25" xfId="1" applyNumberFormat="1" applyFill="1" applyBorder="1" applyAlignment="1">
      <alignment horizontal="center" vertical="center" wrapText="1"/>
    </xf>
    <xf numFmtId="3" fontId="5" fillId="28" borderId="5" xfId="1" applyNumberFormat="1" applyFont="1" applyFill="1" applyBorder="1" applyAlignment="1">
      <alignment horizontal="center" vertical="center" wrapText="1"/>
    </xf>
    <xf numFmtId="0" fontId="5" fillId="28" borderId="68" xfId="1" applyFont="1" applyFill="1" applyBorder="1" applyAlignment="1">
      <alignment horizontal="left" vertical="center" wrapText="1"/>
    </xf>
    <xf numFmtId="3" fontId="5" fillId="28" borderId="56" xfId="1" applyNumberFormat="1" applyFont="1" applyFill="1" applyBorder="1" applyAlignment="1">
      <alignment horizontal="center" vertical="center" wrapText="1"/>
    </xf>
    <xf numFmtId="3" fontId="5" fillId="28" borderId="52" xfId="1" applyNumberFormat="1" applyFont="1" applyFill="1" applyBorder="1" applyAlignment="1">
      <alignment horizontal="center" vertical="center" wrapText="1"/>
    </xf>
    <xf numFmtId="3" fontId="5" fillId="28" borderId="69" xfId="1" applyNumberFormat="1" applyFont="1" applyFill="1" applyBorder="1" applyAlignment="1">
      <alignment horizontal="center" vertical="center" wrapText="1"/>
    </xf>
    <xf numFmtId="0" fontId="1" fillId="28" borderId="36" xfId="1" applyFill="1" applyBorder="1" applyAlignment="1">
      <alignment horizontal="center" vertical="center" wrapText="1"/>
    </xf>
    <xf numFmtId="168" fontId="5" fillId="28" borderId="10" xfId="4" applyNumberFormat="1" applyFont="1" applyFill="1" applyBorder="1" applyAlignment="1">
      <alignment horizontal="center" vertical="center" wrapText="1"/>
    </xf>
    <xf numFmtId="168" fontId="5" fillId="28" borderId="66" xfId="4" applyNumberFormat="1" applyFont="1" applyFill="1" applyBorder="1" applyAlignment="1">
      <alignment horizontal="center" vertical="center" wrapText="1"/>
    </xf>
    <xf numFmtId="167" fontId="5" fillId="28" borderId="25" xfId="1" applyNumberFormat="1" applyFont="1" applyFill="1" applyBorder="1" applyAlignment="1">
      <alignment horizontal="center" vertical="center" wrapText="1"/>
    </xf>
    <xf numFmtId="167" fontId="5" fillId="28" borderId="56" xfId="1" applyNumberFormat="1" applyFont="1" applyFill="1" applyBorder="1" applyAlignment="1">
      <alignment horizontal="center" vertical="center" wrapText="1"/>
    </xf>
    <xf numFmtId="0" fontId="5" fillId="28" borderId="24" xfId="1" applyFont="1" applyFill="1" applyBorder="1" applyAlignment="1">
      <alignment horizontal="left" vertical="center" wrapText="1"/>
    </xf>
    <xf numFmtId="167" fontId="5" fillId="28" borderId="16" xfId="1" applyNumberFormat="1" applyFont="1" applyFill="1" applyBorder="1" applyAlignment="1">
      <alignment horizontal="center" vertical="center" wrapText="1"/>
    </xf>
    <xf numFmtId="167" fontId="5" fillId="28" borderId="17" xfId="1" applyNumberFormat="1" applyFont="1" applyFill="1" applyBorder="1" applyAlignment="1">
      <alignment horizontal="center" vertical="center" wrapText="1"/>
    </xf>
    <xf numFmtId="167" fontId="1" fillId="28" borderId="16" xfId="1" applyNumberFormat="1" applyFill="1" applyBorder="1" applyAlignment="1">
      <alignment horizontal="center" vertical="center" wrapText="1"/>
    </xf>
    <xf numFmtId="168" fontId="5" fillId="28" borderId="16" xfId="4" applyNumberFormat="1" applyFont="1" applyFill="1" applyBorder="1" applyAlignment="1">
      <alignment horizontal="center" vertical="center" wrapText="1"/>
    </xf>
    <xf numFmtId="3" fontId="5" fillId="28" borderId="16" xfId="1" applyNumberFormat="1" applyFont="1" applyFill="1" applyBorder="1" applyAlignment="1">
      <alignment horizontal="center" vertical="center" wrapText="1"/>
    </xf>
    <xf numFmtId="3" fontId="5" fillId="28" borderId="61" xfId="1" applyNumberFormat="1" applyFont="1" applyFill="1" applyBorder="1" applyAlignment="1">
      <alignment horizontal="center" vertical="center" wrapText="1"/>
    </xf>
    <xf numFmtId="0" fontId="5" fillId="28" borderId="20" xfId="1" applyFont="1" applyFill="1" applyBorder="1" applyAlignment="1">
      <alignment horizontal="left" vertical="center" wrapText="1"/>
    </xf>
    <xf numFmtId="0" fontId="1" fillId="28" borderId="21" xfId="1" applyFill="1" applyBorder="1" applyAlignment="1">
      <alignment horizontal="center" vertical="center" wrapText="1"/>
    </xf>
    <xf numFmtId="3" fontId="1" fillId="28" borderId="16" xfId="1" applyNumberFormat="1" applyFill="1" applyBorder="1" applyAlignment="1">
      <alignment horizontal="center" vertical="center" wrapText="1"/>
    </xf>
    <xf numFmtId="0" fontId="1" fillId="28" borderId="45" xfId="1" applyFill="1" applyBorder="1" applyAlignment="1">
      <alignment horizontal="center" vertical="center" wrapText="1"/>
    </xf>
    <xf numFmtId="3" fontId="8" fillId="28" borderId="21" xfId="3" applyNumberFormat="1" applyFont="1" applyFill="1" applyBorder="1" applyAlignment="1">
      <alignment horizontal="left" vertical="center" wrapText="1"/>
    </xf>
    <xf numFmtId="0" fontId="5" fillId="28" borderId="21" xfId="1" applyFont="1" applyFill="1" applyBorder="1" applyAlignment="1">
      <alignment horizontal="center" vertical="center" wrapText="1"/>
    </xf>
    <xf numFmtId="1" fontId="5" fillId="28" borderId="21" xfId="1" applyNumberFormat="1" applyFont="1" applyFill="1" applyBorder="1" applyAlignment="1">
      <alignment horizontal="center" vertical="center" wrapText="1"/>
    </xf>
    <xf numFmtId="3" fontId="5" fillId="28" borderId="21" xfId="1" applyNumberFormat="1" applyFont="1" applyFill="1" applyBorder="1" applyAlignment="1">
      <alignment horizontal="center" vertical="center" wrapText="1"/>
    </xf>
    <xf numFmtId="3" fontId="5" fillId="28" borderId="27" xfId="1" applyNumberFormat="1" applyFont="1" applyFill="1" applyBorder="1" applyAlignment="1">
      <alignment horizontal="center" vertical="center" wrapText="1"/>
    </xf>
    <xf numFmtId="1" fontId="43" fillId="3" borderId="16" xfId="1" applyNumberFormat="1" applyFont="1" applyFill="1" applyBorder="1" applyAlignment="1">
      <alignment horizontal="center" vertical="center" wrapText="1"/>
    </xf>
    <xf numFmtId="1" fontId="44" fillId="3" borderId="21" xfId="1" applyNumberFormat="1" applyFont="1" applyFill="1" applyBorder="1" applyAlignment="1">
      <alignment horizontal="center" vertical="center" wrapText="1"/>
    </xf>
    <xf numFmtId="1" fontId="44" fillId="12" borderId="21" xfId="1" applyNumberFormat="1" applyFont="1" applyFill="1" applyBorder="1" applyAlignment="1">
      <alignment horizontal="center" vertical="center" wrapText="1"/>
    </xf>
    <xf numFmtId="0" fontId="44" fillId="3" borderId="20" xfId="1" applyFont="1" applyFill="1" applyBorder="1" applyAlignment="1">
      <alignment horizontal="left" vertical="center" wrapText="1" indent="2"/>
    </xf>
    <xf numFmtId="0" fontId="43" fillId="28" borderId="20" xfId="1" applyFont="1" applyFill="1" applyBorder="1" applyAlignment="1">
      <alignment horizontal="left" vertical="center" wrapText="1"/>
    </xf>
    <xf numFmtId="1" fontId="43" fillId="28" borderId="21" xfId="1" applyNumberFormat="1" applyFont="1" applyFill="1" applyBorder="1" applyAlignment="1">
      <alignment horizontal="center" vertical="center" wrapText="1"/>
    </xf>
    <xf numFmtId="3" fontId="43" fillId="28" borderId="21" xfId="1" applyNumberFormat="1" applyFont="1" applyFill="1" applyBorder="1" applyAlignment="1">
      <alignment horizontal="center" vertical="center" wrapText="1"/>
    </xf>
    <xf numFmtId="3" fontId="43" fillId="28" borderId="27" xfId="1" applyNumberFormat="1" applyFont="1" applyFill="1" applyBorder="1" applyAlignment="1">
      <alignment horizontal="center" vertical="center" wrapText="1"/>
    </xf>
    <xf numFmtId="0" fontId="5" fillId="28" borderId="21" xfId="1" applyFont="1" applyFill="1" applyBorder="1" applyAlignment="1">
      <alignment horizontal="left" vertical="center" wrapText="1"/>
    </xf>
    <xf numFmtId="6" fontId="5" fillId="28" borderId="52" xfId="1" applyNumberFormat="1" applyFont="1" applyFill="1" applyBorder="1" applyAlignment="1">
      <alignment horizontal="center" vertical="center" wrapText="1"/>
    </xf>
    <xf numFmtId="1" fontId="14" fillId="28" borderId="33" xfId="0" applyNumberFormat="1" applyFont="1" applyFill="1" applyBorder="1" applyAlignment="1">
      <alignment horizontal="center" vertical="top" wrapText="1"/>
    </xf>
    <xf numFmtId="9" fontId="5" fillId="28" borderId="21" xfId="10" applyFont="1" applyFill="1" applyBorder="1" applyAlignment="1">
      <alignment horizontal="center" vertical="center" wrapText="1"/>
    </xf>
    <xf numFmtId="1" fontId="15" fillId="28" borderId="22" xfId="0" applyNumberFormat="1" applyFont="1" applyFill="1" applyBorder="1" applyAlignment="1">
      <alignment horizontal="center" vertical="top" wrapText="1"/>
    </xf>
    <xf numFmtId="0" fontId="5" fillId="28" borderId="58" xfId="1" applyFont="1" applyFill="1" applyBorder="1" applyAlignment="1">
      <alignment horizontal="left" vertical="center" wrapText="1"/>
    </xf>
    <xf numFmtId="3" fontId="5" fillId="28" borderId="71" xfId="1" applyNumberFormat="1" applyFont="1" applyFill="1" applyBorder="1" applyAlignment="1">
      <alignment horizontal="center" vertical="center" wrapText="1"/>
    </xf>
    <xf numFmtId="0" fontId="43" fillId="28" borderId="58" xfId="1" applyFont="1" applyFill="1" applyBorder="1" applyAlignment="1">
      <alignment horizontal="left" vertical="center" wrapText="1"/>
    </xf>
    <xf numFmtId="6" fontId="43" fillId="28" borderId="52" xfId="1" applyNumberFormat="1" applyFont="1" applyFill="1" applyBorder="1" applyAlignment="1">
      <alignment horizontal="center" vertical="center" wrapText="1"/>
    </xf>
    <xf numFmtId="3" fontId="43" fillId="28" borderId="52" xfId="1" applyNumberFormat="1" applyFont="1" applyFill="1" applyBorder="1" applyAlignment="1">
      <alignment horizontal="center" vertical="center" wrapText="1"/>
    </xf>
    <xf numFmtId="3" fontId="43" fillId="28" borderId="16" xfId="1" applyNumberFormat="1" applyFont="1" applyFill="1" applyBorder="1" applyAlignment="1">
      <alignment horizontal="center" vertical="center" wrapText="1"/>
    </xf>
    <xf numFmtId="6" fontId="5" fillId="28" borderId="21" xfId="1" applyNumberFormat="1" applyFont="1" applyFill="1" applyBorder="1" applyAlignment="1">
      <alignment horizontal="center" vertical="center" wrapText="1"/>
    </xf>
    <xf numFmtId="0" fontId="5" fillId="28" borderId="48" xfId="1" applyFont="1" applyFill="1" applyBorder="1" applyAlignment="1">
      <alignment horizontal="left" vertical="center" wrapText="1"/>
    </xf>
    <xf numFmtId="6" fontId="5" fillId="28" borderId="50" xfId="1" applyNumberFormat="1" applyFont="1" applyFill="1" applyBorder="1" applyAlignment="1">
      <alignment horizontal="center" vertical="center" wrapText="1"/>
    </xf>
    <xf numFmtId="6" fontId="5" fillId="28" borderId="51" xfId="1" applyNumberFormat="1" applyFont="1" applyFill="1" applyBorder="1" applyAlignment="1">
      <alignment horizontal="center" vertical="center" wrapText="1"/>
    </xf>
    <xf numFmtId="6" fontId="44" fillId="3" borderId="27" xfId="1" applyNumberFormat="1" applyFont="1" applyFill="1" applyBorder="1" applyAlignment="1">
      <alignment horizontal="center" vertical="center" wrapText="1"/>
    </xf>
    <xf numFmtId="6" fontId="44" fillId="3" borderId="21" xfId="1" applyNumberFormat="1" applyFont="1" applyFill="1" applyBorder="1" applyAlignment="1">
      <alignment horizontal="center" vertical="center" wrapText="1"/>
    </xf>
    <xf numFmtId="6" fontId="44" fillId="12" borderId="21" xfId="1" applyNumberFormat="1" applyFont="1" applyFill="1" applyBorder="1" applyAlignment="1">
      <alignment horizontal="center" vertical="center" wrapText="1"/>
    </xf>
    <xf numFmtId="6" fontId="43" fillId="28" borderId="21" xfId="1" applyNumberFormat="1" applyFont="1" applyFill="1" applyBorder="1" applyAlignment="1">
      <alignment horizontal="center" vertical="center" wrapText="1"/>
    </xf>
    <xf numFmtId="0" fontId="5" fillId="28" borderId="21" xfId="3" applyFont="1" applyFill="1" applyBorder="1" applyAlignment="1">
      <alignment horizontal="left" vertical="center" wrapText="1"/>
    </xf>
    <xf numFmtId="9" fontId="1" fillId="28" borderId="21" xfId="4" applyFont="1" applyFill="1" applyBorder="1" applyAlignment="1">
      <alignment horizontal="center" vertical="center" wrapText="1"/>
    </xf>
    <xf numFmtId="3" fontId="1" fillId="28" borderId="21" xfId="3" applyNumberFormat="1" applyFill="1" applyBorder="1" applyAlignment="1">
      <alignment horizontal="center" vertical="center" wrapText="1"/>
    </xf>
    <xf numFmtId="6" fontId="1" fillId="28" borderId="21" xfId="3" applyNumberFormat="1" applyFill="1" applyBorder="1" applyAlignment="1">
      <alignment horizontal="center" vertical="top" wrapText="1"/>
    </xf>
    <xf numFmtId="3" fontId="40" fillId="24" borderId="21" xfId="0" applyNumberFormat="1" applyFont="1" applyFill="1" applyBorder="1" applyAlignment="1">
      <alignment horizontal="center" vertical="center" wrapText="1"/>
    </xf>
    <xf numFmtId="3" fontId="40" fillId="15" borderId="21" xfId="3" applyNumberFormat="1" applyFont="1" applyFill="1" applyBorder="1" applyAlignment="1">
      <alignment horizontal="center" vertical="center" wrapText="1"/>
    </xf>
    <xf numFmtId="6" fontId="40" fillId="21" borderId="21" xfId="3" applyNumberFormat="1" applyFont="1" applyFill="1" applyBorder="1" applyAlignment="1">
      <alignment horizontal="center" vertical="top" wrapText="1"/>
    </xf>
    <xf numFmtId="0" fontId="41" fillId="3" borderId="21" xfId="3" applyFont="1" applyFill="1" applyBorder="1" applyAlignment="1">
      <alignment horizontal="right" vertical="center" wrapText="1"/>
    </xf>
    <xf numFmtId="0" fontId="43" fillId="28" borderId="21" xfId="3" applyFont="1" applyFill="1" applyBorder="1" applyAlignment="1">
      <alignment horizontal="left" vertical="center" wrapText="1"/>
    </xf>
    <xf numFmtId="6" fontId="40" fillId="28" borderId="21" xfId="3" applyNumberFormat="1" applyFont="1" applyFill="1" applyBorder="1" applyAlignment="1">
      <alignment horizontal="center" vertical="top" wrapText="1"/>
    </xf>
    <xf numFmtId="3" fontId="40" fillId="28" borderId="21" xfId="3" applyNumberFormat="1" applyFont="1" applyFill="1" applyBorder="1" applyAlignment="1">
      <alignment horizontal="center" vertical="center" wrapText="1"/>
    </xf>
    <xf numFmtId="9" fontId="40" fillId="28" borderId="21" xfId="4" applyFont="1" applyFill="1" applyBorder="1" applyAlignment="1">
      <alignment horizontal="center" vertical="center" wrapText="1"/>
    </xf>
    <xf numFmtId="9" fontId="40" fillId="28" borderId="21" xfId="10" applyFont="1" applyFill="1" applyBorder="1" applyAlignment="1">
      <alignment horizontal="center" vertical="center" wrapText="1"/>
    </xf>
    <xf numFmtId="3" fontId="1" fillId="28" borderId="21" xfId="3" applyNumberFormat="1" applyFill="1" applyBorder="1" applyAlignment="1">
      <alignment horizontal="left" vertical="center" wrapText="1"/>
    </xf>
    <xf numFmtId="0" fontId="5" fillId="29" borderId="4" xfId="1" applyFont="1" applyFill="1" applyBorder="1" applyAlignment="1">
      <alignment horizontal="left" vertical="center" wrapText="1"/>
    </xf>
    <xf numFmtId="167" fontId="5" fillId="29" borderId="25" xfId="1" applyNumberFormat="1" applyFont="1" applyFill="1" applyBorder="1" applyAlignment="1">
      <alignment horizontal="center" vertical="center" wrapText="1"/>
    </xf>
    <xf numFmtId="167" fontId="5" fillId="29" borderId="56" xfId="1" applyNumberFormat="1" applyFont="1" applyFill="1" applyBorder="1" applyAlignment="1">
      <alignment horizontal="center" vertical="center" wrapText="1"/>
    </xf>
    <xf numFmtId="175" fontId="5" fillId="29" borderId="56" xfId="1" applyNumberFormat="1" applyFont="1" applyFill="1" applyBorder="1" applyAlignment="1">
      <alignment horizontal="center" vertical="center" wrapText="1"/>
    </xf>
    <xf numFmtId="175" fontId="5" fillId="29" borderId="6" xfId="1" applyNumberFormat="1" applyFont="1" applyFill="1" applyBorder="1" applyAlignment="1">
      <alignment horizontal="center" vertical="center" wrapText="1"/>
    </xf>
    <xf numFmtId="0" fontId="5" fillId="29" borderId="68" xfId="1" applyFont="1" applyFill="1" applyBorder="1" applyAlignment="1">
      <alignment horizontal="left" vertical="center" wrapText="1"/>
    </xf>
    <xf numFmtId="3" fontId="5" fillId="29" borderId="56" xfId="1" applyNumberFormat="1" applyFont="1" applyFill="1" applyBorder="1" applyAlignment="1">
      <alignment horizontal="center" vertical="center" wrapText="1"/>
    </xf>
    <xf numFmtId="0" fontId="43" fillId="29" borderId="68" xfId="1" applyFont="1" applyFill="1" applyBorder="1" applyAlignment="1">
      <alignment horizontal="left" vertical="center" wrapText="1"/>
    </xf>
    <xf numFmtId="3" fontId="43" fillId="29" borderId="56" xfId="1" applyNumberFormat="1" applyFont="1" applyFill="1" applyBorder="1" applyAlignment="1">
      <alignment horizontal="center" vertical="center" wrapText="1"/>
    </xf>
    <xf numFmtId="0" fontId="5" fillId="29" borderId="24" xfId="1" applyFont="1" applyFill="1" applyBorder="1" applyAlignment="1">
      <alignment horizontal="left" vertical="center" wrapText="1"/>
    </xf>
    <xf numFmtId="167" fontId="5" fillId="29" borderId="16" xfId="1" applyNumberFormat="1" applyFont="1" applyFill="1" applyBorder="1" applyAlignment="1">
      <alignment horizontal="center" vertical="center" wrapText="1"/>
    </xf>
    <xf numFmtId="3" fontId="5" fillId="29" borderId="16" xfId="1" applyNumberFormat="1" applyFont="1" applyFill="1" applyBorder="1" applyAlignment="1">
      <alignment horizontal="center" vertical="center" wrapText="1"/>
    </xf>
    <xf numFmtId="3" fontId="5" fillId="29" borderId="61" xfId="1" applyNumberFormat="1" applyFont="1" applyFill="1" applyBorder="1" applyAlignment="1">
      <alignment horizontal="center" vertical="center" wrapText="1"/>
    </xf>
    <xf numFmtId="0" fontId="1" fillId="29" borderId="16" xfId="1" applyFill="1" applyBorder="1" applyAlignment="1">
      <alignment horizontal="center" vertical="center" wrapText="1"/>
    </xf>
    <xf numFmtId="3" fontId="1" fillId="29" borderId="16" xfId="1" applyNumberFormat="1" applyFill="1" applyBorder="1" applyAlignment="1">
      <alignment horizontal="center" vertical="center" wrapText="1"/>
    </xf>
    <xf numFmtId="0" fontId="1" fillId="29" borderId="45" xfId="1" applyFill="1" applyBorder="1" applyAlignment="1">
      <alignment horizontal="center" vertical="center" wrapText="1"/>
    </xf>
    <xf numFmtId="3" fontId="5" fillId="29" borderId="21" xfId="3" applyNumberFormat="1" applyFont="1" applyFill="1" applyBorder="1" applyAlignment="1">
      <alignment horizontal="center" vertical="center" wrapText="1"/>
    </xf>
    <xf numFmtId="3" fontId="1" fillId="29" borderId="21" xfId="3" applyNumberFormat="1" applyFill="1" applyBorder="1" applyAlignment="1">
      <alignment horizontal="center" vertical="center" wrapText="1"/>
    </xf>
    <xf numFmtId="3" fontId="8" fillId="29" borderId="21" xfId="3" applyNumberFormat="1" applyFont="1" applyFill="1" applyBorder="1" applyAlignment="1">
      <alignment horizontal="left" vertical="center" wrapText="1"/>
    </xf>
    <xf numFmtId="0" fontId="1" fillId="29" borderId="22" xfId="1" applyFill="1" applyBorder="1" applyAlignment="1">
      <alignment horizontal="center" vertical="center" wrapText="1"/>
    </xf>
    <xf numFmtId="0" fontId="5" fillId="29" borderId="22" xfId="1" applyFont="1" applyFill="1" applyBorder="1" applyAlignment="1">
      <alignment horizontal="center" vertical="center" wrapText="1"/>
    </xf>
    <xf numFmtId="3" fontId="5" fillId="29" borderId="22" xfId="1" applyNumberFormat="1" applyFont="1" applyFill="1" applyBorder="1" applyAlignment="1">
      <alignment horizontal="center" vertical="center" wrapText="1"/>
    </xf>
    <xf numFmtId="3" fontId="5" fillId="29" borderId="17" xfId="1" applyNumberFormat="1" applyFont="1" applyFill="1" applyBorder="1" applyAlignment="1">
      <alignment horizontal="center" vertical="center" wrapText="1"/>
    </xf>
    <xf numFmtId="1" fontId="5" fillId="29" borderId="16" xfId="1" applyNumberFormat="1" applyFont="1" applyFill="1" applyBorder="1" applyAlignment="1">
      <alignment horizontal="center" vertical="center" wrapText="1"/>
    </xf>
    <xf numFmtId="0" fontId="43" fillId="29" borderId="24" xfId="1" applyFont="1" applyFill="1" applyBorder="1" applyAlignment="1">
      <alignment horizontal="left" vertical="center" wrapText="1"/>
    </xf>
    <xf numFmtId="3" fontId="43" fillId="29" borderId="16" xfId="1" applyNumberFormat="1" applyFont="1" applyFill="1" applyBorder="1" applyAlignment="1">
      <alignment horizontal="center" vertical="center" wrapText="1"/>
    </xf>
    <xf numFmtId="0" fontId="5" fillId="29" borderId="16" xfId="1" applyFont="1" applyFill="1" applyBorder="1" applyAlignment="1">
      <alignment horizontal="center" vertical="center" wrapText="1"/>
    </xf>
    <xf numFmtId="165" fontId="45" fillId="10" borderId="5" xfId="1" applyNumberFormat="1" applyFont="1" applyFill="1" applyBorder="1" applyAlignment="1">
      <alignment horizontal="center" vertical="center" wrapText="1"/>
    </xf>
    <xf numFmtId="165" fontId="45" fillId="10" borderId="25" xfId="1" applyNumberFormat="1" applyFont="1" applyFill="1" applyBorder="1" applyAlignment="1">
      <alignment horizontal="center" vertical="center" wrapText="1"/>
    </xf>
    <xf numFmtId="0" fontId="45" fillId="10" borderId="56" xfId="1" applyFont="1" applyFill="1" applyBorder="1" applyAlignment="1">
      <alignment horizontal="center" vertical="center" wrapText="1"/>
    </xf>
    <xf numFmtId="0" fontId="45" fillId="10" borderId="68" xfId="1" applyFont="1" applyFill="1" applyBorder="1" applyAlignment="1">
      <alignment horizontal="left" vertical="center" wrapText="1"/>
    </xf>
    <xf numFmtId="0" fontId="5" fillId="29" borderId="21" xfId="1" applyFont="1" applyFill="1" applyBorder="1" applyAlignment="1">
      <alignment horizontal="left" vertical="center" wrapText="1"/>
    </xf>
    <xf numFmtId="3" fontId="5" fillId="29" borderId="21" xfId="1" applyNumberFormat="1" applyFont="1" applyFill="1" applyBorder="1" applyAlignment="1">
      <alignment horizontal="center" vertical="center" wrapText="1"/>
    </xf>
    <xf numFmtId="0" fontId="5" fillId="29" borderId="21" xfId="3" applyFont="1" applyFill="1" applyBorder="1" applyAlignment="1">
      <alignment horizontal="left" vertical="center" wrapText="1"/>
    </xf>
    <xf numFmtId="9" fontId="1" fillId="29" borderId="21" xfId="4" applyFont="1" applyFill="1" applyBorder="1" applyAlignment="1">
      <alignment horizontal="left" vertical="center" wrapText="1"/>
    </xf>
    <xf numFmtId="3" fontId="1" fillId="29" borderId="21" xfId="0" applyNumberFormat="1" applyFont="1" applyFill="1" applyBorder="1" applyAlignment="1">
      <alignment horizontal="center" vertical="center" wrapText="1"/>
    </xf>
    <xf numFmtId="6" fontId="1" fillId="29" borderId="21" xfId="3" applyNumberFormat="1" applyFill="1" applyBorder="1" applyAlignment="1">
      <alignment horizontal="center" vertical="top" wrapText="1"/>
    </xf>
    <xf numFmtId="6" fontId="5" fillId="29" borderId="21" xfId="1" applyNumberFormat="1" applyFont="1" applyFill="1" applyBorder="1" applyAlignment="1">
      <alignment horizontal="center" vertical="center" wrapText="1"/>
    </xf>
    <xf numFmtId="9" fontId="1" fillId="29" borderId="21" xfId="10" applyFont="1" applyFill="1" applyBorder="1" applyAlignment="1">
      <alignment horizontal="center" vertical="center" wrapText="1"/>
    </xf>
    <xf numFmtId="0" fontId="43" fillId="29" borderId="21" xfId="3" applyFont="1" applyFill="1" applyBorder="1" applyAlignment="1">
      <alignment horizontal="left" vertical="center" wrapText="1"/>
    </xf>
    <xf numFmtId="6" fontId="43" fillId="29" borderId="21" xfId="1" applyNumberFormat="1" applyFont="1" applyFill="1" applyBorder="1" applyAlignment="1">
      <alignment horizontal="center" vertical="center" wrapText="1"/>
    </xf>
    <xf numFmtId="9" fontId="40" fillId="29" borderId="21" xfId="10" applyFont="1" applyFill="1" applyBorder="1" applyAlignment="1">
      <alignment horizontal="center" vertical="center" wrapText="1"/>
    </xf>
    <xf numFmtId="3" fontId="40" fillId="29" borderId="21" xfId="0" applyNumberFormat="1" applyFont="1" applyFill="1" applyBorder="1" applyAlignment="1">
      <alignment horizontal="center" vertical="center" wrapText="1"/>
    </xf>
    <xf numFmtId="3" fontId="1" fillId="29" borderId="21" xfId="3" applyNumberFormat="1" applyFill="1" applyBorder="1" applyAlignment="1">
      <alignment horizontal="left" vertical="center" wrapText="1"/>
    </xf>
    <xf numFmtId="3" fontId="37" fillId="0" borderId="30" xfId="1" applyNumberFormat="1" applyFont="1" applyBorder="1" applyAlignment="1">
      <alignment horizontal="center" vertical="center" wrapText="1"/>
    </xf>
    <xf numFmtId="3" fontId="42" fillId="0" borderId="30" xfId="1" applyNumberFormat="1" applyFont="1" applyBorder="1" applyAlignment="1">
      <alignment horizontal="center" vertical="center" wrapText="1"/>
    </xf>
    <xf numFmtId="3" fontId="44" fillId="12" borderId="45" xfId="1" applyNumberFormat="1" applyFont="1" applyFill="1" applyBorder="1" applyAlignment="1">
      <alignment horizontal="center" vertical="center" wrapText="1"/>
    </xf>
    <xf numFmtId="3" fontId="44" fillId="0" borderId="21" xfId="1" applyNumberFormat="1" applyFont="1" applyBorder="1" applyAlignment="1">
      <alignment horizontal="center" vertical="center" wrapText="1"/>
    </xf>
    <xf numFmtId="3" fontId="37" fillId="0" borderId="16" xfId="1" applyNumberFormat="1" applyFont="1" applyBorder="1" applyAlignment="1">
      <alignment horizontal="center" vertical="center" wrapText="1"/>
    </xf>
    <xf numFmtId="3" fontId="42" fillId="0" borderId="16" xfId="1" applyNumberFormat="1" applyFont="1" applyBorder="1" applyAlignment="1">
      <alignment horizontal="center" vertical="center" wrapText="1"/>
    </xf>
    <xf numFmtId="3" fontId="1" fillId="3" borderId="45" xfId="1" applyNumberFormat="1" applyFill="1" applyBorder="1" applyAlignment="1">
      <alignment horizontal="center" vertical="center" wrapText="1"/>
    </xf>
    <xf numFmtId="3" fontId="40" fillId="3" borderId="45" xfId="1" applyNumberFormat="1" applyFont="1" applyFill="1" applyBorder="1" applyAlignment="1">
      <alignment horizontal="center" vertical="center" wrapText="1"/>
    </xf>
    <xf numFmtId="3" fontId="22" fillId="3" borderId="32" xfId="1" applyNumberFormat="1" applyFont="1" applyFill="1" applyBorder="1" applyAlignment="1">
      <alignment horizontal="center" vertical="center" wrapText="1"/>
    </xf>
    <xf numFmtId="3" fontId="44" fillId="3" borderId="32" xfId="1" applyNumberFormat="1" applyFont="1" applyFill="1" applyBorder="1" applyAlignment="1">
      <alignment horizontal="center" vertical="center" wrapText="1"/>
    </xf>
    <xf numFmtId="3" fontId="40" fillId="3" borderId="21" xfId="1" applyNumberFormat="1" applyFont="1" applyFill="1" applyBorder="1" applyAlignment="1">
      <alignment horizontal="center" vertical="center" wrapText="1"/>
    </xf>
    <xf numFmtId="3" fontId="42" fillId="3" borderId="21" xfId="1" applyNumberFormat="1" applyFont="1" applyFill="1" applyBorder="1" applyAlignment="1">
      <alignment horizontal="center" vertical="center" wrapText="1"/>
    </xf>
    <xf numFmtId="3" fontId="44" fillId="0" borderId="33" xfId="1" applyNumberFormat="1" applyFont="1" applyBorder="1" applyAlignment="1">
      <alignment horizontal="center" vertical="center" wrapText="1"/>
    </xf>
    <xf numFmtId="0" fontId="44" fillId="0" borderId="28" xfId="1" applyFont="1" applyBorder="1" applyAlignment="1">
      <alignment horizontal="left" vertical="center" wrapText="1" indent="4"/>
    </xf>
    <xf numFmtId="0" fontId="44" fillId="0" borderId="26" xfId="1" applyFont="1" applyBorder="1" applyAlignment="1">
      <alignment horizontal="left" vertical="center" wrapText="1" indent="4"/>
    </xf>
    <xf numFmtId="3" fontId="40" fillId="0" borderId="21" xfId="1" applyNumberFormat="1" applyFont="1" applyBorder="1" applyAlignment="1">
      <alignment horizontal="center" vertical="center" wrapText="1"/>
    </xf>
    <xf numFmtId="0" fontId="40" fillId="0" borderId="26" xfId="1" applyFont="1" applyBorder="1" applyAlignment="1">
      <alignment horizontal="left" vertical="center" wrapText="1" indent="2"/>
    </xf>
    <xf numFmtId="0" fontId="48" fillId="21" borderId="26" xfId="1" applyFont="1" applyFill="1" applyBorder="1" applyAlignment="1">
      <alignment horizontal="left" vertical="center" wrapText="1" indent="2"/>
    </xf>
    <xf numFmtId="3" fontId="48" fillId="21" borderId="21" xfId="1" applyNumberFormat="1" applyFont="1" applyFill="1" applyBorder="1" applyAlignment="1">
      <alignment horizontal="center" vertical="center" wrapText="1"/>
    </xf>
    <xf numFmtId="3" fontId="48" fillId="21" borderId="67" xfId="1" applyNumberFormat="1" applyFont="1" applyFill="1" applyBorder="1" applyAlignment="1">
      <alignment horizontal="center" vertical="center" wrapText="1"/>
    </xf>
    <xf numFmtId="0" fontId="49" fillId="21" borderId="26" xfId="1" applyFont="1" applyFill="1" applyBorder="1" applyAlignment="1">
      <alignment horizontal="left" vertical="center" wrapText="1" indent="4"/>
    </xf>
    <xf numFmtId="3" fontId="49" fillId="21" borderId="21" xfId="1" applyNumberFormat="1" applyFont="1" applyFill="1" applyBorder="1" applyAlignment="1">
      <alignment horizontal="center" vertical="center" wrapText="1"/>
    </xf>
    <xf numFmtId="3" fontId="49" fillId="21" borderId="67" xfId="1" applyNumberFormat="1" applyFont="1" applyFill="1" applyBorder="1" applyAlignment="1">
      <alignment horizontal="center" vertical="center" wrapText="1"/>
    </xf>
    <xf numFmtId="0" fontId="49" fillId="21" borderId="28" xfId="1" applyFont="1" applyFill="1" applyBorder="1" applyAlignment="1">
      <alignment horizontal="left" vertical="center" wrapText="1" indent="4"/>
    </xf>
    <xf numFmtId="3" fontId="49" fillId="21" borderId="33" xfId="1" applyNumberFormat="1" applyFont="1" applyFill="1" applyBorder="1" applyAlignment="1">
      <alignment horizontal="center" vertical="center" wrapText="1"/>
    </xf>
    <xf numFmtId="3" fontId="49" fillId="21" borderId="44" xfId="1" applyNumberFormat="1" applyFont="1" applyFill="1" applyBorder="1" applyAlignment="1">
      <alignment horizontal="center" vertical="center" wrapText="1"/>
    </xf>
    <xf numFmtId="3" fontId="44" fillId="8" borderId="33" xfId="1" applyNumberFormat="1" applyFont="1" applyFill="1" applyBorder="1" applyAlignment="1">
      <alignment horizontal="center" vertical="center" wrapText="1"/>
    </xf>
    <xf numFmtId="3" fontId="44" fillId="8" borderId="21" xfId="1" applyNumberFormat="1" applyFont="1" applyFill="1" applyBorder="1" applyAlignment="1">
      <alignment horizontal="center" vertical="center" wrapText="1"/>
    </xf>
    <xf numFmtId="3" fontId="40" fillId="8" borderId="21" xfId="1" applyNumberFormat="1" applyFont="1" applyFill="1" applyBorder="1" applyAlignment="1">
      <alignment horizontal="center" vertical="center" wrapText="1"/>
    </xf>
    <xf numFmtId="0" fontId="46" fillId="21" borderId="26" xfId="1" applyFont="1" applyFill="1" applyBorder="1" applyAlignment="1">
      <alignment horizontal="left" vertical="center" wrapText="1" indent="2"/>
    </xf>
    <xf numFmtId="168" fontId="47" fillId="21" borderId="21" xfId="4" applyNumberFormat="1" applyFont="1" applyFill="1" applyBorder="1" applyAlignment="1">
      <alignment horizontal="center" vertical="center" wrapText="1"/>
    </xf>
    <xf numFmtId="3" fontId="46" fillId="21" borderId="21" xfId="1" applyNumberFormat="1" applyFont="1" applyFill="1" applyBorder="1" applyAlignment="1">
      <alignment horizontal="center" vertical="center" wrapText="1"/>
    </xf>
    <xf numFmtId="3" fontId="46" fillId="21" borderId="67" xfId="1" applyNumberFormat="1" applyFont="1" applyFill="1" applyBorder="1" applyAlignment="1">
      <alignment horizontal="center" vertical="center" wrapText="1"/>
    </xf>
    <xf numFmtId="0" fontId="47" fillId="21" borderId="26" xfId="1" applyFont="1" applyFill="1" applyBorder="1" applyAlignment="1">
      <alignment horizontal="left" vertical="center" wrapText="1" indent="4"/>
    </xf>
    <xf numFmtId="3" fontId="47" fillId="21" borderId="21" xfId="1" applyNumberFormat="1" applyFont="1" applyFill="1" applyBorder="1" applyAlignment="1">
      <alignment horizontal="center" vertical="center" wrapText="1"/>
    </xf>
    <xf numFmtId="3" fontId="47" fillId="21" borderId="67" xfId="1" applyNumberFormat="1" applyFont="1" applyFill="1" applyBorder="1" applyAlignment="1">
      <alignment horizontal="center" vertical="center" wrapText="1"/>
    </xf>
    <xf numFmtId="0" fontId="47" fillId="21" borderId="28" xfId="1" applyFont="1" applyFill="1" applyBorder="1" applyAlignment="1">
      <alignment horizontal="left" vertical="center" wrapText="1" indent="4"/>
    </xf>
    <xf numFmtId="168" fontId="47" fillId="21" borderId="33" xfId="4" applyNumberFormat="1" applyFont="1" applyFill="1" applyBorder="1" applyAlignment="1">
      <alignment horizontal="center" vertical="center" wrapText="1"/>
    </xf>
    <xf numFmtId="3" fontId="47" fillId="21" borderId="33" xfId="1" applyNumberFormat="1" applyFont="1" applyFill="1" applyBorder="1" applyAlignment="1">
      <alignment horizontal="center" vertical="center" wrapText="1"/>
    </xf>
    <xf numFmtId="3" fontId="47" fillId="21" borderId="44" xfId="1" applyNumberFormat="1" applyFont="1" applyFill="1" applyBorder="1" applyAlignment="1">
      <alignment horizontal="center" vertical="center" wrapText="1"/>
    </xf>
    <xf numFmtId="175" fontId="40" fillId="0" borderId="21" xfId="1" applyNumberFormat="1" applyFont="1" applyBorder="1" applyAlignment="1">
      <alignment horizontal="center" vertical="center" wrapText="1"/>
    </xf>
    <xf numFmtId="175" fontId="37" fillId="0" borderId="21" xfId="1" applyNumberFormat="1" applyFont="1" applyBorder="1" applyAlignment="1">
      <alignment horizontal="center" vertical="center" wrapText="1"/>
    </xf>
    <xf numFmtId="175" fontId="42" fillId="0" borderId="21" xfId="1" applyNumberFormat="1" applyFont="1" applyBorder="1" applyAlignment="1">
      <alignment horizontal="center" vertical="center" wrapText="1"/>
    </xf>
    <xf numFmtId="175" fontId="37" fillId="0" borderId="16" xfId="1" applyNumberFormat="1" applyFont="1" applyBorder="1" applyAlignment="1">
      <alignment horizontal="center" vertical="center" wrapText="1"/>
    </xf>
    <xf numFmtId="175" fontId="6" fillId="8" borderId="21" xfId="1" applyNumberFormat="1" applyFont="1" applyFill="1" applyBorder="1" applyAlignment="1">
      <alignment horizontal="center" vertical="center" wrapText="1"/>
    </xf>
    <xf numFmtId="175" fontId="22" fillId="8" borderId="21" xfId="1" applyNumberFormat="1" applyFont="1" applyFill="1" applyBorder="1" applyAlignment="1">
      <alignment horizontal="center" vertical="center" wrapText="1"/>
    </xf>
    <xf numFmtId="167" fontId="43" fillId="29" borderId="16" xfId="1" applyNumberFormat="1" applyFont="1" applyFill="1" applyBorder="1" applyAlignment="1">
      <alignment horizontal="center" vertical="center" wrapText="1"/>
    </xf>
    <xf numFmtId="166" fontId="40" fillId="0" borderId="21" xfId="3" applyNumberFormat="1" applyFont="1" applyBorder="1" applyAlignment="1">
      <alignment horizontal="right" vertical="center" wrapText="1"/>
    </xf>
    <xf numFmtId="166" fontId="43" fillId="3" borderId="21" xfId="3" applyNumberFormat="1" applyFont="1" applyFill="1" applyBorder="1" applyAlignment="1">
      <alignment horizontal="right" vertical="center" wrapText="1"/>
    </xf>
    <xf numFmtId="3" fontId="40" fillId="0" borderId="50" xfId="1" applyNumberFormat="1" applyFont="1" applyBorder="1" applyAlignment="1">
      <alignment horizontal="center" vertical="center" wrapText="1"/>
    </xf>
    <xf numFmtId="3" fontId="5" fillId="31" borderId="16" xfId="1" applyNumberFormat="1" applyFont="1" applyFill="1" applyBorder="1" applyAlignment="1">
      <alignment horizontal="center" vertical="center" wrapText="1"/>
    </xf>
    <xf numFmtId="3" fontId="5" fillId="31" borderId="33" xfId="1" applyNumberFormat="1" applyFont="1" applyFill="1" applyBorder="1" applyAlignment="1">
      <alignment horizontal="center" vertical="center" wrapText="1"/>
    </xf>
    <xf numFmtId="3" fontId="40" fillId="3" borderId="16" xfId="1" applyNumberFormat="1" applyFont="1" applyFill="1" applyBorder="1" applyAlignment="1">
      <alignment horizontal="center" vertical="center" wrapText="1"/>
    </xf>
    <xf numFmtId="3" fontId="1" fillId="29" borderId="21" xfId="1" applyNumberFormat="1" applyFill="1" applyBorder="1" applyAlignment="1">
      <alignment horizontal="left" vertical="center" wrapText="1"/>
    </xf>
    <xf numFmtId="3" fontId="1" fillId="28" borderId="21" xfId="1" applyNumberFormat="1" applyFill="1" applyBorder="1" applyAlignment="1">
      <alignment horizontal="left" vertical="center" wrapText="1"/>
    </xf>
    <xf numFmtId="175" fontId="1" fillId="0" borderId="0" xfId="1" applyNumberFormat="1" applyAlignment="1">
      <alignment vertical="center"/>
    </xf>
    <xf numFmtId="175" fontId="44" fillId="3" borderId="50" xfId="1" applyNumberFormat="1" applyFont="1" applyFill="1" applyBorder="1" applyAlignment="1">
      <alignment horizontal="center" vertical="center" wrapText="1"/>
    </xf>
    <xf numFmtId="172" fontId="9" fillId="0" borderId="0" xfId="1" applyNumberFormat="1" applyFont="1"/>
    <xf numFmtId="0" fontId="1" fillId="0" borderId="50" xfId="3" applyBorder="1" applyAlignment="1">
      <alignment horizontal="left" vertical="top" wrapText="1"/>
    </xf>
    <xf numFmtId="0" fontId="1" fillId="0" borderId="52" xfId="3" applyBorder="1" applyAlignment="1">
      <alignment horizontal="left" vertical="top" wrapText="1"/>
    </xf>
    <xf numFmtId="0" fontId="1" fillId="0" borderId="22" xfId="3" applyBorder="1" applyAlignment="1">
      <alignment horizontal="left" vertical="top"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7" xfId="1" applyBorder="1" applyAlignment="1">
      <alignment horizontal="center" vertical="center" wrapText="1"/>
    </xf>
    <xf numFmtId="0" fontId="5" fillId="3" borderId="18" xfId="1" applyFont="1" applyFill="1" applyBorder="1" applyAlignment="1">
      <alignment horizontal="center" vertical="top" wrapText="1"/>
    </xf>
    <xf numFmtId="0" fontId="5" fillId="3" borderId="12" xfId="1" applyFont="1" applyFill="1" applyBorder="1" applyAlignment="1">
      <alignment horizontal="center" vertical="top" wrapText="1"/>
    </xf>
    <xf numFmtId="0" fontId="39" fillId="0" borderId="48" xfId="0" applyFont="1" applyBorder="1" applyAlignment="1">
      <alignment horizontal="left" vertical="top" wrapText="1"/>
    </xf>
    <xf numFmtId="0" fontId="39" fillId="0" borderId="64" xfId="0" applyFont="1" applyBorder="1" applyAlignment="1">
      <alignment horizontal="left" vertical="top" wrapText="1"/>
    </xf>
    <xf numFmtId="0" fontId="5" fillId="13" borderId="8" xfId="1" applyFont="1" applyFill="1" applyBorder="1" applyAlignment="1">
      <alignment horizontal="center" vertical="center" wrapText="1"/>
    </xf>
    <xf numFmtId="0" fontId="5" fillId="13" borderId="9" xfId="1" applyFont="1" applyFill="1" applyBorder="1" applyAlignment="1">
      <alignment horizontal="center" vertical="center" wrapText="1"/>
    </xf>
    <xf numFmtId="0" fontId="5" fillId="13" borderId="13" xfId="1" applyFont="1" applyFill="1" applyBorder="1" applyAlignment="1">
      <alignment horizontal="center" vertical="center" wrapText="1"/>
    </xf>
    <xf numFmtId="167" fontId="1" fillId="12" borderId="14" xfId="1" applyNumberFormat="1" applyFill="1" applyBorder="1" applyAlignment="1">
      <alignment horizontal="center" vertical="center" wrapText="1"/>
    </xf>
    <xf numFmtId="167" fontId="1" fillId="12" borderId="18" xfId="1" applyNumberFormat="1" applyFill="1" applyBorder="1" applyAlignment="1">
      <alignment horizontal="center" vertical="center" wrapText="1"/>
    </xf>
    <xf numFmtId="167" fontId="1" fillId="12" borderId="12" xfId="1" applyNumberFormat="1" applyFill="1" applyBorder="1" applyAlignment="1">
      <alignment horizontal="center" vertical="center" wrapText="1"/>
    </xf>
    <xf numFmtId="3" fontId="5" fillId="3" borderId="18" xfId="1" applyNumberFormat="1" applyFont="1" applyFill="1" applyBorder="1" applyAlignment="1">
      <alignment horizontal="center" vertical="center" wrapText="1"/>
    </xf>
    <xf numFmtId="3" fontId="5" fillId="3" borderId="14" xfId="1" applyNumberFormat="1" applyFont="1" applyFill="1" applyBorder="1" applyAlignment="1">
      <alignment horizontal="center" vertical="center" wrapText="1"/>
    </xf>
    <xf numFmtId="3" fontId="5" fillId="3" borderId="12" xfId="1" applyNumberFormat="1" applyFont="1" applyFill="1" applyBorder="1" applyAlignment="1">
      <alignment horizontal="center" vertical="center" wrapText="1"/>
    </xf>
    <xf numFmtId="0" fontId="5" fillId="13" borderId="4" xfId="1" applyFont="1" applyFill="1" applyBorder="1" applyAlignment="1">
      <alignment horizontal="center" vertical="center" wrapText="1"/>
    </xf>
    <xf numFmtId="0" fontId="5" fillId="13" borderId="10" xfId="1" applyFont="1" applyFill="1" applyBorder="1" applyAlignment="1">
      <alignment horizontal="center" vertical="center" wrapText="1"/>
    </xf>
    <xf numFmtId="0" fontId="5" fillId="13" borderId="66" xfId="1" applyFont="1" applyFill="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3" fontId="5" fillId="12" borderId="18" xfId="1" applyNumberFormat="1" applyFont="1" applyFill="1" applyBorder="1" applyAlignment="1">
      <alignment horizontal="center" vertical="center" wrapText="1"/>
    </xf>
    <xf numFmtId="3" fontId="5" fillId="12" borderId="12" xfId="1" applyNumberFormat="1" applyFont="1" applyFill="1" applyBorder="1" applyAlignment="1">
      <alignment horizontal="center" vertical="center" wrapText="1"/>
    </xf>
    <xf numFmtId="3" fontId="5" fillId="12" borderId="14" xfId="1" applyNumberFormat="1" applyFont="1" applyFill="1" applyBorder="1" applyAlignment="1">
      <alignment horizontal="center" vertical="center" wrapText="1"/>
    </xf>
    <xf numFmtId="0" fontId="5" fillId="0" borderId="14" xfId="1" applyFont="1" applyBorder="1" applyAlignment="1">
      <alignment horizontal="center" vertical="center" wrapText="1"/>
    </xf>
    <xf numFmtId="0" fontId="5" fillId="0" borderId="18" xfId="1" applyFont="1" applyBorder="1" applyAlignment="1">
      <alignment horizontal="center" vertical="center" wrapText="1"/>
    </xf>
    <xf numFmtId="0" fontId="50" fillId="3" borderId="14" xfId="1" applyFont="1" applyFill="1" applyBorder="1" applyAlignment="1">
      <alignment horizontal="left" vertical="top" wrapText="1"/>
    </xf>
    <xf numFmtId="0" fontId="1" fillId="3" borderId="18" xfId="1" applyFill="1" applyBorder="1" applyAlignment="1">
      <alignment horizontal="left" vertical="top" wrapText="1"/>
    </xf>
    <xf numFmtId="0" fontId="1" fillId="3" borderId="12" xfId="1" applyFill="1" applyBorder="1" applyAlignment="1">
      <alignment horizontal="left" vertical="top" wrapText="1"/>
    </xf>
    <xf numFmtId="0" fontId="5" fillId="13" borderId="2" xfId="1" applyFont="1" applyFill="1" applyBorder="1" applyAlignment="1">
      <alignment horizontal="center" vertical="center" wrapText="1"/>
    </xf>
    <xf numFmtId="0" fontId="5" fillId="13" borderId="3" xfId="1" applyFont="1" applyFill="1" applyBorder="1" applyAlignment="1">
      <alignment horizontal="center" vertical="center" wrapText="1"/>
    </xf>
    <xf numFmtId="0" fontId="5" fillId="13" borderId="7" xfId="1" applyFont="1" applyFill="1" applyBorder="1" applyAlignment="1">
      <alignment horizontal="center" vertical="center" wrapText="1"/>
    </xf>
    <xf numFmtId="0" fontId="50" fillId="3" borderId="35" xfId="1" applyFont="1" applyFill="1" applyBorder="1" applyAlignment="1">
      <alignment horizontal="left" vertical="top" wrapText="1"/>
    </xf>
    <xf numFmtId="0" fontId="1" fillId="3" borderId="37" xfId="1" applyFill="1" applyBorder="1" applyAlignment="1">
      <alignment horizontal="left" vertical="top" wrapText="1"/>
    </xf>
    <xf numFmtId="0" fontId="50" fillId="0" borderId="8" xfId="1" applyFont="1" applyBorder="1" applyAlignment="1">
      <alignment horizontal="left" vertical="center" wrapText="1"/>
    </xf>
    <xf numFmtId="0" fontId="40" fillId="0" borderId="9" xfId="1" applyFont="1" applyBorder="1" applyAlignment="1">
      <alignment horizontal="left" vertical="center" wrapText="1"/>
    </xf>
    <xf numFmtId="0" fontId="5" fillId="13" borderId="21" xfId="1" applyFont="1" applyFill="1" applyBorder="1" applyAlignment="1">
      <alignment horizontal="center" vertical="center" wrapText="1"/>
    </xf>
    <xf numFmtId="0" fontId="39" fillId="3" borderId="35" xfId="1" applyFont="1" applyFill="1" applyBorder="1" applyAlignment="1">
      <alignment horizontal="left" vertical="top" wrapText="1"/>
    </xf>
    <xf numFmtId="0" fontId="5" fillId="7" borderId="21" xfId="1" applyFont="1" applyFill="1" applyBorder="1" applyAlignment="1">
      <alignment horizontal="center" vertical="top" wrapText="1"/>
    </xf>
    <xf numFmtId="0" fontId="1" fillId="7" borderId="35" xfId="1" applyFill="1" applyBorder="1" applyAlignment="1">
      <alignment horizontal="left" vertical="top" wrapText="1"/>
    </xf>
    <xf numFmtId="0" fontId="1" fillId="7" borderId="37" xfId="1" applyFill="1" applyBorder="1" applyAlignment="1">
      <alignment horizontal="left" vertical="top" wrapText="1"/>
    </xf>
    <xf numFmtId="0" fontId="1" fillId="7" borderId="8" xfId="1" applyFill="1" applyBorder="1" applyAlignment="1">
      <alignment horizontal="left" vertical="top" wrapText="1"/>
    </xf>
    <xf numFmtId="0" fontId="1" fillId="30" borderId="21" xfId="1" applyFill="1" applyBorder="1" applyAlignment="1">
      <alignment horizontal="left" vertical="top" wrapText="1"/>
    </xf>
    <xf numFmtId="3" fontId="5" fillId="29" borderId="21" xfId="1" applyNumberFormat="1" applyFont="1" applyFill="1" applyBorder="1" applyAlignment="1">
      <alignment horizontal="center" vertical="center" wrapText="1"/>
    </xf>
    <xf numFmtId="0" fontId="1" fillId="0" borderId="21" xfId="1" applyBorder="1" applyAlignment="1">
      <alignment horizontal="center" vertical="center" wrapText="1"/>
    </xf>
    <xf numFmtId="0" fontId="1" fillId="0" borderId="21" xfId="3" applyBorder="1" applyAlignment="1">
      <alignment horizontal="left" vertical="top" wrapText="1"/>
    </xf>
    <xf numFmtId="0" fontId="5" fillId="13" borderId="2" xfId="1" applyFont="1" applyFill="1" applyBorder="1" applyAlignment="1">
      <alignment horizontal="left" vertical="center" wrapText="1"/>
    </xf>
    <xf numFmtId="0" fontId="5" fillId="13" borderId="3" xfId="1" applyFont="1" applyFill="1" applyBorder="1" applyAlignment="1">
      <alignment horizontal="left" vertical="center" wrapText="1"/>
    </xf>
    <xf numFmtId="0" fontId="5" fillId="13" borderId="7" xfId="1" applyFont="1" applyFill="1" applyBorder="1" applyAlignment="1">
      <alignment horizontal="left" vertical="center" wrapText="1"/>
    </xf>
    <xf numFmtId="0" fontId="1" fillId="7" borderId="14" xfId="1" applyFill="1" applyBorder="1" applyAlignment="1">
      <alignment horizontal="left" vertical="top" wrapText="1"/>
    </xf>
    <xf numFmtId="0" fontId="1" fillId="7" borderId="18" xfId="1" applyFill="1" applyBorder="1" applyAlignment="1">
      <alignment horizontal="left" vertical="top" wrapText="1"/>
    </xf>
    <xf numFmtId="0" fontId="1" fillId="30" borderId="14" xfId="1" applyFill="1" applyBorder="1" applyAlignment="1">
      <alignment horizontal="left" vertical="top" wrapText="1"/>
    </xf>
    <xf numFmtId="0" fontId="1" fillId="30" borderId="12" xfId="1" applyFill="1" applyBorder="1" applyAlignment="1">
      <alignment horizontal="left" vertical="top" wrapText="1"/>
    </xf>
    <xf numFmtId="3" fontId="5" fillId="29" borderId="61" xfId="1" applyNumberFormat="1" applyFont="1" applyFill="1" applyBorder="1" applyAlignment="1">
      <alignment horizontal="center" vertical="center" wrapText="1"/>
    </xf>
    <xf numFmtId="3" fontId="5" fillId="29" borderId="30" xfId="1" applyNumberFormat="1" applyFont="1" applyFill="1" applyBorder="1" applyAlignment="1">
      <alignment horizontal="center" vertical="center" wrapText="1"/>
    </xf>
    <xf numFmtId="0" fontId="1" fillId="0" borderId="39" xfId="1" applyBorder="1" applyAlignment="1">
      <alignment horizontal="center" vertical="center" wrapText="1"/>
    </xf>
    <xf numFmtId="0" fontId="3" fillId="10" borderId="2" xfId="1" applyFont="1" applyFill="1" applyBorder="1" applyAlignment="1">
      <alignment horizontal="left" vertical="center" wrapText="1"/>
    </xf>
    <xf numFmtId="0" fontId="3" fillId="10" borderId="3" xfId="1" applyFont="1" applyFill="1" applyBorder="1" applyAlignment="1">
      <alignment horizontal="left" vertical="center" wrapText="1"/>
    </xf>
    <xf numFmtId="0" fontId="3" fillId="10" borderId="7" xfId="1" applyFont="1" applyFill="1" applyBorder="1" applyAlignment="1">
      <alignment horizontal="left" vertical="center" wrapText="1"/>
    </xf>
    <xf numFmtId="0" fontId="5" fillId="13" borderId="21" xfId="3" applyFont="1" applyFill="1" applyBorder="1" applyAlignment="1">
      <alignment horizontal="center" vertical="center" wrapText="1"/>
    </xf>
    <xf numFmtId="0" fontId="1" fillId="0" borderId="21" xfId="3" applyBorder="1" applyAlignment="1">
      <alignment horizontal="center" vertical="center" wrapText="1"/>
    </xf>
    <xf numFmtId="0" fontId="1" fillId="7" borderId="21" xfId="1" applyFill="1" applyBorder="1" applyAlignment="1">
      <alignment horizontal="left" vertical="top" wrapText="1"/>
    </xf>
    <xf numFmtId="0" fontId="1" fillId="0" borderId="35" xfId="1" applyBorder="1" applyAlignment="1">
      <alignment horizontal="center" vertical="center" wrapText="1"/>
    </xf>
    <xf numFmtId="0" fontId="1" fillId="0" borderId="6" xfId="1" applyBorder="1" applyAlignment="1">
      <alignment horizontal="center" vertical="center" wrapText="1"/>
    </xf>
    <xf numFmtId="0" fontId="1" fillId="0" borderId="57" xfId="1" applyBorder="1" applyAlignment="1">
      <alignment horizontal="center" vertical="center" wrapText="1"/>
    </xf>
    <xf numFmtId="0" fontId="1" fillId="0" borderId="14" xfId="1" applyBorder="1" applyAlignment="1">
      <alignment horizontal="center" vertical="center" wrapText="1"/>
    </xf>
    <xf numFmtId="0" fontId="1" fillId="0" borderId="18" xfId="1" applyBorder="1" applyAlignment="1">
      <alignment horizontal="center" vertical="center" wrapText="1"/>
    </xf>
    <xf numFmtId="0" fontId="1" fillId="0" borderId="12" xfId="1" applyBorder="1" applyAlignment="1">
      <alignment horizontal="center" vertical="center" wrapText="1"/>
    </xf>
    <xf numFmtId="0" fontId="1" fillId="0" borderId="35" xfId="1" applyBorder="1" applyAlignment="1">
      <alignment horizontal="left" vertical="top" wrapText="1"/>
    </xf>
    <xf numFmtId="0" fontId="1" fillId="0" borderId="37" xfId="1" applyBorder="1" applyAlignment="1">
      <alignment horizontal="left" vertical="top" wrapText="1"/>
    </xf>
    <xf numFmtId="0" fontId="1" fillId="0" borderId="18" xfId="1" applyBorder="1" applyAlignment="1">
      <alignment horizontal="left" vertical="top" wrapText="1"/>
    </xf>
    <xf numFmtId="0" fontId="1" fillId="0" borderId="12" xfId="1" applyBorder="1" applyAlignment="1">
      <alignment horizontal="left" vertical="top" wrapText="1"/>
    </xf>
    <xf numFmtId="0" fontId="1" fillId="3" borderId="35" xfId="1" applyFill="1" applyBorder="1" applyAlignment="1">
      <alignment horizontal="left" vertical="top" wrapText="1"/>
    </xf>
    <xf numFmtId="0" fontId="39" fillId="0" borderId="8" xfId="1" applyFont="1" applyBorder="1" applyAlignment="1">
      <alignment horizontal="center" vertical="center" wrapText="1"/>
    </xf>
    <xf numFmtId="0" fontId="1" fillId="0" borderId="13" xfId="1" applyBorder="1" applyAlignment="1">
      <alignment horizontal="center" vertical="center" wrapText="1"/>
    </xf>
    <xf numFmtId="0" fontId="1" fillId="7" borderId="14" xfId="1" applyFill="1" applyBorder="1" applyAlignment="1">
      <alignment horizontal="center" vertical="top" wrapText="1"/>
    </xf>
    <xf numFmtId="0" fontId="1" fillId="7" borderId="18" xfId="1" applyFill="1" applyBorder="1" applyAlignment="1">
      <alignment horizontal="center" vertical="top" wrapText="1"/>
    </xf>
    <xf numFmtId="0" fontId="1" fillId="7" borderId="12" xfId="1" applyFill="1" applyBorder="1" applyAlignment="1">
      <alignment horizontal="center" vertical="top" wrapText="1"/>
    </xf>
    <xf numFmtId="3" fontId="5" fillId="29" borderId="16" xfId="1" applyNumberFormat="1" applyFont="1" applyFill="1" applyBorder="1" applyAlignment="1">
      <alignment horizontal="center" vertical="center" wrapText="1"/>
    </xf>
    <xf numFmtId="0" fontId="1" fillId="3" borderId="8" xfId="1" applyFill="1" applyBorder="1" applyAlignment="1">
      <alignment horizontal="left" vertical="top" wrapText="1"/>
    </xf>
    <xf numFmtId="0" fontId="5" fillId="0" borderId="57" xfId="1" applyFont="1" applyBorder="1" applyAlignment="1">
      <alignment horizontal="center" vertical="center" wrapText="1"/>
    </xf>
    <xf numFmtId="0" fontId="5" fillId="0" borderId="39" xfId="1" applyFont="1" applyBorder="1" applyAlignment="1">
      <alignment horizontal="center" vertical="center" wrapText="1"/>
    </xf>
    <xf numFmtId="0" fontId="1" fillId="0" borderId="21" xfId="0" applyFont="1" applyBorder="1" applyAlignment="1">
      <alignment horizontal="left" vertical="top" wrapText="1"/>
    </xf>
    <xf numFmtId="0" fontId="2" fillId="9" borderId="2" xfId="1" applyFont="1" applyFill="1" applyBorder="1" applyAlignment="1">
      <alignment horizontal="left" vertical="center" wrapText="1"/>
    </xf>
    <xf numFmtId="0" fontId="2" fillId="9" borderId="3" xfId="1" applyFont="1" applyFill="1" applyBorder="1" applyAlignment="1">
      <alignment horizontal="left" vertical="center" wrapText="1"/>
    </xf>
    <xf numFmtId="49" fontId="3" fillId="9" borderId="3" xfId="1" applyNumberFormat="1" applyFont="1" applyFill="1" applyBorder="1" applyAlignment="1">
      <alignment horizontal="right" vertical="center" wrapText="1"/>
    </xf>
    <xf numFmtId="49" fontId="3" fillId="9" borderId="7" xfId="1" applyNumberFormat="1" applyFont="1" applyFill="1" applyBorder="1" applyAlignment="1">
      <alignment horizontal="right" vertical="center" wrapText="1"/>
    </xf>
    <xf numFmtId="0" fontId="1" fillId="7" borderId="12" xfId="1" applyFill="1" applyBorder="1" applyAlignment="1">
      <alignment horizontal="left" vertical="top" wrapText="1"/>
    </xf>
    <xf numFmtId="0" fontId="19" fillId="7" borderId="35" xfId="1" applyFont="1" applyFill="1" applyBorder="1" applyAlignment="1">
      <alignment horizontal="left" vertical="top" wrapText="1"/>
    </xf>
    <xf numFmtId="0" fontId="19" fillId="7" borderId="37" xfId="1" applyFont="1" applyFill="1" applyBorder="1" applyAlignment="1">
      <alignment horizontal="left" vertical="top" wrapText="1"/>
    </xf>
    <xf numFmtId="0" fontId="19" fillId="7" borderId="18" xfId="1" applyFont="1" applyFill="1" applyBorder="1" applyAlignment="1">
      <alignment horizontal="left" vertical="top" wrapText="1"/>
    </xf>
    <xf numFmtId="0" fontId="19" fillId="7" borderId="12" xfId="1" applyFont="1" applyFill="1" applyBorder="1" applyAlignment="1">
      <alignment horizontal="left" vertical="top" wrapText="1"/>
    </xf>
    <xf numFmtId="0" fontId="1" fillId="22" borderId="35" xfId="1" applyFill="1" applyBorder="1" applyAlignment="1">
      <alignment horizontal="left" vertical="top" wrapText="1"/>
    </xf>
    <xf numFmtId="0" fontId="19" fillId="22" borderId="37" xfId="1" applyFont="1" applyFill="1" applyBorder="1" applyAlignment="1">
      <alignment horizontal="left" vertical="top" wrapText="1"/>
    </xf>
    <xf numFmtId="0" fontId="19" fillId="22" borderId="18" xfId="1" applyFont="1" applyFill="1" applyBorder="1" applyAlignment="1">
      <alignment horizontal="left" vertical="top" wrapText="1"/>
    </xf>
    <xf numFmtId="0" fontId="19" fillId="22" borderId="12" xfId="1" applyFont="1" applyFill="1" applyBorder="1" applyAlignment="1">
      <alignment horizontal="left" vertical="top" wrapText="1"/>
    </xf>
    <xf numFmtId="0" fontId="1" fillId="7" borderId="6" xfId="1" applyFill="1" applyBorder="1" applyAlignment="1">
      <alignment horizontal="center" vertical="top" wrapText="1"/>
    </xf>
    <xf numFmtId="0" fontId="1" fillId="7" borderId="0" xfId="1" applyFill="1" applyAlignment="1">
      <alignment horizontal="center" vertical="top" wrapText="1"/>
    </xf>
    <xf numFmtId="0" fontId="1" fillId="0" borderId="14" xfId="1" applyBorder="1" applyAlignment="1">
      <alignment horizontal="center" vertical="top" wrapText="1"/>
    </xf>
    <xf numFmtId="0" fontId="1" fillId="0" borderId="18" xfId="1" applyBorder="1" applyAlignment="1">
      <alignment horizontal="center" vertical="top" wrapText="1"/>
    </xf>
    <xf numFmtId="0" fontId="1" fillId="0" borderId="39" xfId="1" applyBorder="1" applyAlignment="1">
      <alignment horizontal="center" vertical="top" wrapText="1"/>
    </xf>
    <xf numFmtId="0" fontId="1" fillId="0" borderId="12" xfId="1" applyBorder="1" applyAlignment="1">
      <alignment horizontal="center" vertical="top" wrapText="1"/>
    </xf>
    <xf numFmtId="0" fontId="1" fillId="3" borderId="14" xfId="1" applyFill="1" applyBorder="1" applyAlignment="1">
      <alignment horizontal="left" vertical="top" wrapText="1"/>
    </xf>
    <xf numFmtId="0" fontId="50" fillId="0" borderId="14" xfId="3" applyFont="1" applyBorder="1" applyAlignment="1">
      <alignment horizontal="left" vertical="top" wrapText="1"/>
    </xf>
    <xf numFmtId="0" fontId="40" fillId="0" borderId="18" xfId="3" applyFont="1" applyBorder="1" applyAlignment="1">
      <alignment horizontal="left" vertical="top" wrapText="1"/>
    </xf>
    <xf numFmtId="0" fontId="40" fillId="0" borderId="12" xfId="3" applyFont="1" applyBorder="1" applyAlignment="1">
      <alignment horizontal="left" vertical="top" wrapText="1"/>
    </xf>
    <xf numFmtId="0" fontId="5" fillId="3" borderId="4"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3" borderId="66" xfId="1" applyFont="1" applyFill="1" applyBorder="1" applyAlignment="1">
      <alignment horizontal="center" vertical="center" wrapText="1"/>
    </xf>
    <xf numFmtId="0" fontId="1" fillId="3" borderId="8" xfId="1" applyFill="1" applyBorder="1" applyAlignment="1">
      <alignment horizontal="center" vertical="center" wrapText="1"/>
    </xf>
    <xf numFmtId="0" fontId="1" fillId="3" borderId="9" xfId="1" applyFill="1" applyBorder="1" applyAlignment="1">
      <alignment horizontal="center" vertical="center" wrapText="1"/>
    </xf>
    <xf numFmtId="167" fontId="5" fillId="0" borderId="14" xfId="1" applyNumberFormat="1" applyFont="1" applyBorder="1" applyAlignment="1">
      <alignment horizontal="center" vertical="center" wrapText="1"/>
    </xf>
    <xf numFmtId="167" fontId="5" fillId="0" borderId="18" xfId="1" applyNumberFormat="1" applyFont="1" applyBorder="1" applyAlignment="1">
      <alignment horizontal="center" vertical="center" wrapText="1"/>
    </xf>
    <xf numFmtId="167" fontId="5" fillId="0" borderId="12" xfId="1" applyNumberFormat="1" applyFont="1" applyBorder="1" applyAlignment="1">
      <alignment horizontal="center" vertical="center" wrapText="1"/>
    </xf>
    <xf numFmtId="0" fontId="11" fillId="9" borderId="2" xfId="1" applyFont="1" applyFill="1" applyBorder="1" applyAlignment="1">
      <alignment horizontal="left" vertical="top" wrapText="1"/>
    </xf>
    <xf numFmtId="0" fontId="11" fillId="9" borderId="3" xfId="1" applyFont="1" applyFill="1" applyBorder="1" applyAlignment="1">
      <alignment horizontal="left" vertical="top" wrapText="1"/>
    </xf>
    <xf numFmtId="49" fontId="11" fillId="9" borderId="3" xfId="1" applyNumberFormat="1" applyFont="1" applyFill="1" applyBorder="1" applyAlignment="1">
      <alignment horizontal="right" vertical="top" wrapText="1"/>
    </xf>
    <xf numFmtId="49" fontId="11" fillId="9" borderId="7" xfId="1" applyNumberFormat="1" applyFont="1" applyFill="1" applyBorder="1" applyAlignment="1">
      <alignment horizontal="right" vertical="top" wrapText="1"/>
    </xf>
    <xf numFmtId="0" fontId="9" fillId="0" borderId="14" xfId="1" applyFont="1" applyBorder="1" applyAlignment="1">
      <alignment horizontal="center" vertical="top" wrapText="1"/>
    </xf>
    <xf numFmtId="0" fontId="10" fillId="0" borderId="39" xfId="1" applyFont="1" applyBorder="1" applyAlignment="1">
      <alignment horizontal="center" vertical="top" wrapText="1"/>
    </xf>
    <xf numFmtId="0" fontId="10" fillId="0" borderId="18" xfId="1" applyFont="1" applyBorder="1" applyAlignment="1">
      <alignment horizontal="center" vertical="top" wrapText="1"/>
    </xf>
    <xf numFmtId="0" fontId="10" fillId="0" borderId="38" xfId="1" applyFont="1" applyBorder="1" applyAlignment="1">
      <alignment horizontal="center" vertical="top" wrapText="1"/>
    </xf>
    <xf numFmtId="0" fontId="9" fillId="7" borderId="14" xfId="1" applyFont="1" applyFill="1" applyBorder="1" applyAlignment="1">
      <alignment horizontal="left" vertical="top" wrapText="1"/>
    </xf>
    <xf numFmtId="0" fontId="9" fillId="7" borderId="18" xfId="1" applyFont="1" applyFill="1" applyBorder="1" applyAlignment="1">
      <alignment horizontal="left" vertical="top" wrapText="1"/>
    </xf>
    <xf numFmtId="0" fontId="9" fillId="7" borderId="12" xfId="1" applyFont="1" applyFill="1" applyBorder="1" applyAlignment="1">
      <alignment horizontal="left" vertical="top" wrapText="1"/>
    </xf>
    <xf numFmtId="0" fontId="9" fillId="7" borderId="35" xfId="1" applyFont="1" applyFill="1" applyBorder="1" applyAlignment="1">
      <alignment horizontal="left" vertical="top" wrapText="1"/>
    </xf>
    <xf numFmtId="0" fontId="9" fillId="7" borderId="37" xfId="1" applyFont="1" applyFill="1" applyBorder="1" applyAlignment="1">
      <alignment horizontal="left" vertical="top" wrapText="1"/>
    </xf>
    <xf numFmtId="0" fontId="10" fillId="13" borderId="8" xfId="1" applyFont="1" applyFill="1" applyBorder="1" applyAlignment="1">
      <alignment horizontal="center" vertical="top" wrapText="1"/>
    </xf>
    <xf numFmtId="0" fontId="10" fillId="13" borderId="9" xfId="1" applyFont="1" applyFill="1" applyBorder="1" applyAlignment="1">
      <alignment horizontal="center" vertical="top" wrapText="1"/>
    </xf>
    <xf numFmtId="0" fontId="10" fillId="13" borderId="13" xfId="1" applyFont="1" applyFill="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57"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37" xfId="1" applyFont="1" applyBorder="1" applyAlignment="1">
      <alignment horizontal="left" vertical="top" wrapText="1"/>
    </xf>
    <xf numFmtId="0" fontId="9" fillId="0" borderId="18" xfId="1" applyFont="1" applyBorder="1" applyAlignment="1">
      <alignment horizontal="left" vertical="top" wrapText="1"/>
    </xf>
    <xf numFmtId="0" fontId="9" fillId="0" borderId="12" xfId="1" applyFont="1" applyBorder="1" applyAlignment="1">
      <alignment horizontal="left"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9" fillId="0" borderId="7" xfId="1" applyFont="1" applyBorder="1" applyAlignment="1">
      <alignment horizontal="center" vertical="top" wrapText="1"/>
    </xf>
    <xf numFmtId="0" fontId="10" fillId="13" borderId="4" xfId="1" applyFont="1" applyFill="1" applyBorder="1" applyAlignment="1">
      <alignment horizontal="center" vertical="top" wrapText="1"/>
    </xf>
    <xf numFmtId="0" fontId="10" fillId="13" borderId="10" xfId="1" applyFont="1" applyFill="1" applyBorder="1" applyAlignment="1">
      <alignment horizontal="center" vertical="top" wrapText="1"/>
    </xf>
    <xf numFmtId="0" fontId="9" fillId="0" borderId="14" xfId="0" applyFont="1" applyBorder="1" applyAlignment="1">
      <alignment horizontal="center" vertical="top" wrapText="1"/>
    </xf>
    <xf numFmtId="0" fontId="9" fillId="0" borderId="12" xfId="0" applyFont="1" applyBorder="1" applyAlignment="1">
      <alignment horizontal="center" vertical="top" wrapText="1"/>
    </xf>
    <xf numFmtId="0" fontId="10" fillId="15" borderId="2" xfId="1" applyFont="1" applyFill="1" applyBorder="1" applyAlignment="1">
      <alignment horizontal="left" vertical="top" wrapText="1"/>
    </xf>
    <xf numFmtId="0" fontId="10" fillId="15" borderId="3" xfId="1" applyFont="1" applyFill="1" applyBorder="1" applyAlignment="1">
      <alignment horizontal="left" vertical="top" wrapText="1"/>
    </xf>
    <xf numFmtId="0" fontId="10" fillId="15" borderId="6" xfId="1" applyFont="1" applyFill="1" applyBorder="1" applyAlignment="1">
      <alignment horizontal="left" vertical="top" wrapText="1"/>
    </xf>
    <xf numFmtId="0" fontId="10" fillId="15" borderId="7" xfId="1" applyFont="1" applyFill="1" applyBorder="1" applyAlignment="1">
      <alignment horizontal="left" vertical="top" wrapText="1"/>
    </xf>
    <xf numFmtId="0" fontId="17" fillId="0" borderId="0" xfId="1" quotePrefix="1" applyFont="1" applyAlignment="1">
      <alignment horizontal="left" vertical="center" wrapText="1"/>
    </xf>
    <xf numFmtId="0" fontId="17" fillId="0" borderId="0" xfId="1" applyFont="1" applyAlignment="1">
      <alignment horizontal="left" vertical="center" wrapText="1"/>
    </xf>
    <xf numFmtId="0" fontId="17" fillId="0" borderId="14" xfId="1" applyFont="1" applyBorder="1" applyAlignment="1">
      <alignment horizontal="left" vertical="top" wrapText="1"/>
    </xf>
    <xf numFmtId="0" fontId="17" fillId="0" borderId="18" xfId="1" applyFont="1" applyBorder="1" applyAlignment="1">
      <alignment horizontal="left" vertical="top" wrapText="1"/>
    </xf>
    <xf numFmtId="0" fontId="17" fillId="0" borderId="12" xfId="1" applyFont="1" applyBorder="1" applyAlignment="1">
      <alignment horizontal="left" vertical="top" wrapText="1"/>
    </xf>
    <xf numFmtId="0" fontId="17" fillId="4" borderId="42" xfId="1" applyFont="1" applyFill="1" applyBorder="1" applyAlignment="1">
      <alignment horizontal="left" vertical="center" wrapText="1"/>
    </xf>
    <xf numFmtId="0" fontId="17" fillId="4" borderId="33" xfId="1" applyFont="1" applyFill="1" applyBorder="1" applyAlignment="1">
      <alignment horizontal="left" vertical="center" wrapText="1"/>
    </xf>
    <xf numFmtId="0" fontId="17" fillId="4" borderId="34" xfId="1" applyFont="1" applyFill="1" applyBorder="1" applyAlignment="1">
      <alignment horizontal="left" vertical="center" wrapText="1"/>
    </xf>
    <xf numFmtId="0" fontId="17" fillId="0" borderId="0" xfId="1" applyFont="1" applyAlignment="1">
      <alignment vertical="center" wrapText="1"/>
    </xf>
    <xf numFmtId="0" fontId="9" fillId="0" borderId="0" xfId="1" applyFont="1" applyAlignment="1">
      <alignment wrapText="1"/>
    </xf>
    <xf numFmtId="0" fontId="17" fillId="7" borderId="14" xfId="1" applyFont="1" applyFill="1" applyBorder="1" applyAlignment="1">
      <alignment horizontal="left" vertical="top" wrapText="1"/>
    </xf>
    <xf numFmtId="0" fontId="17" fillId="7" borderId="18" xfId="1" applyFont="1" applyFill="1" applyBorder="1" applyAlignment="1">
      <alignment horizontal="left" vertical="top" wrapText="1"/>
    </xf>
    <xf numFmtId="0" fontId="17" fillId="7" borderId="12" xfId="1" applyFont="1" applyFill="1" applyBorder="1" applyAlignment="1">
      <alignment horizontal="left" vertical="top" wrapText="1"/>
    </xf>
    <xf numFmtId="0" fontId="17" fillId="0" borderId="14" xfId="1" quotePrefix="1" applyFont="1" applyBorder="1" applyAlignment="1">
      <alignment horizontal="left" vertical="top" wrapText="1"/>
    </xf>
    <xf numFmtId="0" fontId="17" fillId="4" borderId="44" xfId="1" applyFont="1" applyFill="1" applyBorder="1" applyAlignment="1">
      <alignment horizontal="left" vertical="center" wrapText="1"/>
    </xf>
    <xf numFmtId="0" fontId="17" fillId="4" borderId="40" xfId="1" applyFont="1" applyFill="1" applyBorder="1" applyAlignment="1">
      <alignment horizontal="left" vertical="center" wrapText="1"/>
    </xf>
    <xf numFmtId="0" fontId="17" fillId="4" borderId="41" xfId="1" applyFont="1" applyFill="1" applyBorder="1" applyAlignment="1">
      <alignment horizontal="left" vertical="center" wrapText="1"/>
    </xf>
    <xf numFmtId="0" fontId="17" fillId="7" borderId="14" xfId="1" applyFont="1" applyFill="1" applyBorder="1" applyAlignment="1">
      <alignment vertical="top" wrapText="1"/>
    </xf>
    <xf numFmtId="0" fontId="17" fillId="7" borderId="18" xfId="1" applyFont="1" applyFill="1" applyBorder="1" applyAlignment="1">
      <alignment vertical="top" wrapText="1"/>
    </xf>
    <xf numFmtId="0" fontId="17" fillId="7" borderId="12" xfId="1" applyFont="1" applyFill="1" applyBorder="1" applyAlignment="1">
      <alignment vertical="top" wrapText="1"/>
    </xf>
    <xf numFmtId="0" fontId="17" fillId="4" borderId="28" xfId="1" applyFont="1" applyFill="1" applyBorder="1" applyAlignment="1">
      <alignment horizontal="left" vertical="center" wrapText="1"/>
    </xf>
    <xf numFmtId="0" fontId="17" fillId="4" borderId="2" xfId="1" applyFont="1" applyFill="1" applyBorder="1" applyAlignment="1">
      <alignment horizontal="left" vertical="center" wrapText="1"/>
    </xf>
    <xf numFmtId="0" fontId="17" fillId="4" borderId="3" xfId="1" applyFont="1" applyFill="1" applyBorder="1" applyAlignment="1">
      <alignment horizontal="left" vertical="center" wrapText="1"/>
    </xf>
    <xf numFmtId="0" fontId="17" fillId="4" borderId="7" xfId="1" applyFont="1" applyFill="1" applyBorder="1" applyAlignment="1">
      <alignment horizontal="left" vertical="center" wrapText="1"/>
    </xf>
    <xf numFmtId="49" fontId="17" fillId="0" borderId="14" xfId="1" applyNumberFormat="1" applyFont="1" applyBorder="1" applyAlignment="1">
      <alignment horizontal="left" vertical="top" wrapText="1"/>
    </xf>
    <xf numFmtId="49" fontId="17" fillId="0" borderId="18" xfId="1" applyNumberFormat="1" applyFont="1" applyBorder="1" applyAlignment="1">
      <alignment horizontal="left" vertical="top" wrapText="1"/>
    </xf>
    <xf numFmtId="49" fontId="17" fillId="0" borderId="12" xfId="1" applyNumberFormat="1" applyFont="1" applyBorder="1" applyAlignment="1">
      <alignment horizontal="left" vertical="top" wrapText="1"/>
    </xf>
    <xf numFmtId="0" fontId="17" fillId="0" borderId="18" xfId="1" applyFont="1" applyBorder="1" applyAlignment="1">
      <alignment vertical="top" wrapText="1"/>
    </xf>
    <xf numFmtId="0" fontId="27" fillId="7" borderId="14" xfId="1" applyFont="1" applyFill="1" applyBorder="1" applyAlignment="1">
      <alignment horizontal="left" vertical="top" wrapText="1"/>
    </xf>
    <xf numFmtId="0" fontId="27" fillId="7" borderId="18" xfId="1" applyFont="1" applyFill="1" applyBorder="1" applyAlignment="1">
      <alignment horizontal="left" vertical="top" wrapText="1"/>
    </xf>
    <xf numFmtId="0" fontId="27" fillId="7" borderId="12" xfId="1" applyFont="1" applyFill="1" applyBorder="1" applyAlignment="1">
      <alignment horizontal="left" vertical="top" wrapText="1"/>
    </xf>
    <xf numFmtId="0" fontId="27" fillId="4" borderId="2" xfId="1" applyFont="1" applyFill="1" applyBorder="1" applyAlignment="1">
      <alignment horizontal="left" vertical="center" wrapText="1"/>
    </xf>
    <xf numFmtId="0" fontId="27" fillId="4" borderId="3" xfId="1" applyFont="1" applyFill="1" applyBorder="1" applyAlignment="1">
      <alignment horizontal="left" vertical="center" wrapText="1"/>
    </xf>
    <xf numFmtId="0" fontId="27" fillId="4" borderId="7" xfId="1" applyFont="1" applyFill="1" applyBorder="1" applyAlignment="1">
      <alignment horizontal="left" vertical="center" wrapText="1"/>
    </xf>
    <xf numFmtId="0" fontId="17" fillId="7" borderId="35" xfId="1" applyFont="1" applyFill="1" applyBorder="1" applyAlignment="1">
      <alignment horizontal="left" vertical="top" wrapText="1"/>
    </xf>
    <xf numFmtId="0" fontId="17" fillId="7" borderId="37" xfId="1" applyFont="1" applyFill="1" applyBorder="1" applyAlignment="1">
      <alignment horizontal="left" vertical="top" wrapText="1"/>
    </xf>
    <xf numFmtId="0" fontId="17" fillId="7" borderId="8" xfId="1" applyFont="1" applyFill="1" applyBorder="1" applyAlignment="1">
      <alignment horizontal="left" vertical="top" wrapText="1"/>
    </xf>
    <xf numFmtId="0" fontId="17" fillId="4" borderId="3" xfId="1" applyFont="1" applyFill="1" applyBorder="1" applyAlignment="1">
      <alignment horizontal="left" vertical="top" wrapText="1"/>
    </xf>
    <xf numFmtId="0" fontId="17" fillId="4" borderId="7" xfId="1" applyFont="1" applyFill="1" applyBorder="1" applyAlignment="1">
      <alignment horizontal="left" vertical="top" wrapText="1"/>
    </xf>
    <xf numFmtId="0" fontId="16" fillId="0" borderId="3" xfId="1" applyFont="1" applyBorder="1" applyAlignment="1">
      <alignment vertical="top" wrapText="1"/>
    </xf>
    <xf numFmtId="0" fontId="16" fillId="3" borderId="2"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7" fillId="22" borderId="14" xfId="1" applyFont="1" applyFill="1" applyBorder="1" applyAlignment="1">
      <alignment vertical="top" wrapText="1"/>
    </xf>
    <xf numFmtId="0" fontId="17" fillId="22" borderId="18" xfId="1" applyFont="1" applyFill="1" applyBorder="1" applyAlignment="1">
      <alignment vertical="top" wrapText="1"/>
    </xf>
    <xf numFmtId="0" fontId="17" fillId="22" borderId="14" xfId="1" applyFont="1" applyFill="1" applyBorder="1" applyAlignment="1">
      <alignment horizontal="left" vertical="top" wrapText="1"/>
    </xf>
    <xf numFmtId="0" fontId="17" fillId="22" borderId="18" xfId="1" applyFont="1" applyFill="1" applyBorder="1" applyAlignment="1">
      <alignment horizontal="left" vertical="top" wrapText="1"/>
    </xf>
    <xf numFmtId="0" fontId="17" fillId="22" borderId="12" xfId="1" applyFont="1" applyFill="1" applyBorder="1" applyAlignment="1">
      <alignment horizontal="left" vertical="top" wrapText="1"/>
    </xf>
    <xf numFmtId="0" fontId="27" fillId="4" borderId="2" xfId="1" applyFont="1" applyFill="1" applyBorder="1" applyAlignment="1">
      <alignment vertical="center" wrapText="1"/>
    </xf>
    <xf numFmtId="0" fontId="27" fillId="4" borderId="3" xfId="1" applyFont="1" applyFill="1" applyBorder="1" applyAlignment="1">
      <alignment vertical="center" wrapText="1"/>
    </xf>
    <xf numFmtId="0" fontId="27" fillId="4" borderId="7" xfId="1" applyFont="1" applyFill="1" applyBorder="1" applyAlignment="1">
      <alignment vertical="center" wrapText="1"/>
    </xf>
    <xf numFmtId="0" fontId="35" fillId="20" borderId="14" xfId="11" applyFont="1" applyFill="1" applyBorder="1" applyAlignment="1">
      <alignment vertical="top" wrapText="1"/>
    </xf>
    <xf numFmtId="0" fontId="35" fillId="20" borderId="18" xfId="11" applyFont="1" applyFill="1" applyBorder="1" applyAlignment="1">
      <alignment vertical="top" wrapText="1"/>
    </xf>
    <xf numFmtId="0" fontId="35" fillId="20" borderId="12" xfId="11" applyFont="1" applyFill="1" applyBorder="1" applyAlignment="1">
      <alignment vertical="top" wrapText="1"/>
    </xf>
    <xf numFmtId="0" fontId="35" fillId="4" borderId="2" xfId="11" applyFont="1" applyFill="1" applyBorder="1" applyAlignment="1">
      <alignment horizontal="center" vertical="top" wrapText="1"/>
    </xf>
    <xf numFmtId="0" fontId="35" fillId="4" borderId="3" xfId="11" applyFont="1" applyFill="1" applyBorder="1" applyAlignment="1">
      <alignment horizontal="center" vertical="top" wrapText="1"/>
    </xf>
    <xf numFmtId="0" fontId="35" fillId="4" borderId="7" xfId="11" applyFont="1" applyFill="1" applyBorder="1" applyAlignment="1">
      <alignment horizontal="center" vertical="top" wrapText="1"/>
    </xf>
    <xf numFmtId="0" fontId="8" fillId="0" borderId="2" xfId="11" applyFont="1" applyBorder="1" applyAlignment="1">
      <alignment vertical="top" wrapText="1"/>
    </xf>
    <xf numFmtId="0" fontId="8" fillId="0" borderId="3" xfId="11" applyFont="1" applyBorder="1" applyAlignment="1">
      <alignment vertical="top" wrapText="1"/>
    </xf>
    <xf numFmtId="0" fontId="8" fillId="0" borderId="7" xfId="11" applyFont="1" applyBorder="1" applyAlignment="1">
      <alignment vertical="top" wrapText="1"/>
    </xf>
    <xf numFmtId="0" fontId="35" fillId="5" borderId="14" xfId="11" applyFont="1" applyFill="1" applyBorder="1" applyAlignment="1">
      <alignment vertical="top" wrapText="1"/>
    </xf>
    <xf numFmtId="0" fontId="35" fillId="5" borderId="12" xfId="11" applyFont="1" applyFill="1" applyBorder="1" applyAlignment="1">
      <alignment vertical="top" wrapText="1"/>
    </xf>
    <xf numFmtId="0" fontId="35" fillId="8" borderId="2" xfId="11" applyFont="1" applyFill="1" applyBorder="1" applyAlignment="1">
      <alignment vertical="top" wrapText="1"/>
    </xf>
    <xf numFmtId="0" fontId="35" fillId="8" borderId="7" xfId="11" applyFont="1" applyFill="1" applyBorder="1" applyAlignment="1">
      <alignment vertical="top" wrapText="1"/>
    </xf>
    <xf numFmtId="0" fontId="35" fillId="0" borderId="2" xfId="11" applyFont="1" applyBorder="1" applyAlignment="1">
      <alignment vertical="top" wrapText="1"/>
    </xf>
    <xf numFmtId="0" fontId="35" fillId="0" borderId="7" xfId="11" applyFont="1" applyBorder="1" applyAlignment="1">
      <alignment vertical="top" wrapText="1"/>
    </xf>
    <xf numFmtId="0" fontId="8" fillId="7" borderId="14" xfId="11" applyFont="1" applyFill="1" applyBorder="1" applyAlignment="1">
      <alignment horizontal="left" vertical="top" wrapText="1"/>
    </xf>
    <xf numFmtId="0" fontId="8" fillId="7" borderId="18" xfId="11" applyFont="1" applyFill="1" applyBorder="1" applyAlignment="1">
      <alignment horizontal="left" vertical="top" wrapText="1"/>
    </xf>
    <xf numFmtId="0" fontId="8" fillId="0" borderId="14" xfId="11" applyFont="1" applyBorder="1" applyAlignment="1">
      <alignment vertical="top" wrapText="1"/>
    </xf>
    <xf numFmtId="0" fontId="8" fillId="0" borderId="18" xfId="11" applyFont="1" applyBorder="1" applyAlignment="1">
      <alignment vertical="top" wrapText="1"/>
    </xf>
    <xf numFmtId="0" fontId="8" fillId="0" borderId="39" xfId="11" applyFont="1" applyBorder="1" applyAlignment="1">
      <alignment vertical="top" wrapText="1"/>
    </xf>
    <xf numFmtId="0" fontId="8" fillId="0" borderId="12" xfId="11" applyFont="1" applyBorder="1" applyAlignment="1">
      <alignment vertical="top" wrapText="1"/>
    </xf>
    <xf numFmtId="0" fontId="8" fillId="0" borderId="2" xfId="11" applyFont="1" applyBorder="1" applyAlignment="1">
      <alignment horizontal="center" vertical="top" wrapText="1"/>
    </xf>
    <xf numFmtId="0" fontId="8" fillId="0" borderId="3" xfId="11" applyFont="1" applyBorder="1" applyAlignment="1">
      <alignment horizontal="center" vertical="top" wrapText="1"/>
    </xf>
    <xf numFmtId="0" fontId="8" fillId="0" borderId="7" xfId="11" applyFont="1" applyBorder="1" applyAlignment="1">
      <alignment horizontal="center" vertical="top" wrapText="1"/>
    </xf>
    <xf numFmtId="0" fontId="35" fillId="4" borderId="35" xfId="11" applyFont="1" applyFill="1" applyBorder="1" applyAlignment="1">
      <alignment horizontal="center" vertical="top" wrapText="1"/>
    </xf>
    <xf numFmtId="0" fontId="35" fillId="4" borderId="6" xfId="11" applyFont="1" applyFill="1" applyBorder="1" applyAlignment="1">
      <alignment horizontal="center" vertical="top" wrapText="1"/>
    </xf>
    <xf numFmtId="0" fontId="35" fillId="4" borderId="57" xfId="11" applyFont="1" applyFill="1" applyBorder="1" applyAlignment="1">
      <alignment horizontal="center" vertical="top" wrapText="1"/>
    </xf>
    <xf numFmtId="0" fontId="35" fillId="8" borderId="8" xfId="11" applyFont="1" applyFill="1" applyBorder="1" applyAlignment="1">
      <alignment vertical="top" wrapText="1"/>
    </xf>
    <xf numFmtId="0" fontId="35" fillId="20" borderId="35" xfId="11" applyFont="1" applyFill="1" applyBorder="1" applyAlignment="1">
      <alignment vertical="top" wrapText="1"/>
    </xf>
    <xf numFmtId="0" fontId="35" fillId="20" borderId="6" xfId="11" applyFont="1" applyFill="1" applyBorder="1" applyAlignment="1">
      <alignment vertical="top" wrapText="1"/>
    </xf>
    <xf numFmtId="0" fontId="35" fillId="20" borderId="57" xfId="11" applyFont="1" applyFill="1" applyBorder="1" applyAlignment="1">
      <alignment vertical="top" wrapText="1"/>
    </xf>
    <xf numFmtId="0" fontId="35" fillId="20" borderId="8" xfId="11" applyFont="1" applyFill="1" applyBorder="1" applyAlignment="1">
      <alignment vertical="top" wrapText="1"/>
    </xf>
    <xf numFmtId="0" fontId="35" fillId="20" borderId="9" xfId="11" applyFont="1" applyFill="1" applyBorder="1" applyAlignment="1">
      <alignment vertical="top" wrapText="1"/>
    </xf>
    <xf numFmtId="0" fontId="35" fillId="20" borderId="13" xfId="11" applyFont="1" applyFill="1" applyBorder="1" applyAlignment="1">
      <alignment vertical="top" wrapText="1"/>
    </xf>
    <xf numFmtId="14" fontId="8" fillId="0" borderId="14" xfId="11" applyNumberFormat="1" applyFont="1" applyBorder="1" applyAlignment="1">
      <alignment horizontal="left" vertical="top" wrapText="1"/>
    </xf>
    <xf numFmtId="0" fontId="8" fillId="0" borderId="12" xfId="11" applyFont="1" applyBorder="1" applyAlignment="1">
      <alignment horizontal="left" vertical="top" wrapText="1"/>
    </xf>
    <xf numFmtId="0" fontId="1" fillId="7" borderId="21" xfId="3" applyFill="1" applyBorder="1" applyAlignment="1">
      <alignment horizontal="left" vertical="top" wrapText="1"/>
    </xf>
    <xf numFmtId="0" fontId="8" fillId="0" borderId="0" xfId="3" applyFont="1" applyAlignment="1">
      <alignment horizontal="center" vertical="center" wrapText="1"/>
    </xf>
    <xf numFmtId="0" fontId="1" fillId="0" borderId="21" xfId="3" applyBorder="1" applyAlignment="1">
      <alignment horizontal="left" vertical="center" wrapText="1"/>
    </xf>
    <xf numFmtId="0" fontId="1" fillId="22" borderId="21" xfId="3" applyFill="1" applyBorder="1" applyAlignment="1">
      <alignment horizontal="left" vertical="center" wrapText="1"/>
    </xf>
    <xf numFmtId="0" fontId="2" fillId="9" borderId="21" xfId="3" applyFont="1" applyFill="1" applyBorder="1" applyAlignment="1">
      <alignment horizontal="left" vertical="center" wrapText="1"/>
    </xf>
    <xf numFmtId="0" fontId="5" fillId="0" borderId="0" xfId="3" applyFont="1" applyAlignment="1">
      <alignment horizontal="center" vertical="center" wrapText="1"/>
    </xf>
    <xf numFmtId="0" fontId="17" fillId="0" borderId="18" xfId="1" applyFont="1" applyBorder="1" applyAlignment="1"/>
    <xf numFmtId="0" fontId="17" fillId="0" borderId="12" xfId="1" applyFont="1" applyBorder="1" applyAlignment="1"/>
  </cellXfs>
  <cellStyles count="14">
    <cellStyle name="Comma 2" xfId="2" xr:uid="{41CA85D0-A756-4248-B1B7-2ABEF6E13F8E}"/>
    <cellStyle name="Comma 3" xfId="5" xr:uid="{2707E71F-CDED-439F-94D2-0E0C824A22A4}"/>
    <cellStyle name="Comma 3 2" xfId="12" xr:uid="{F784C090-5C94-4E23-AB4E-53FA7344AE98}"/>
    <cellStyle name="Comma 4" xfId="9" xr:uid="{AB58A81B-E41F-4EFE-9414-2DA31A06D6E7}"/>
    <cellStyle name="Currency 2" xfId="6" xr:uid="{2D9338D0-E67B-4E7B-8678-EFFE0624805E}"/>
    <cellStyle name="Currency 3" xfId="8" xr:uid="{D639232F-B1C3-4752-84F3-1271ABA8CB95}"/>
    <cellStyle name="Normal" xfId="0" builtinId="0"/>
    <cellStyle name="Normal 2" xfId="1" xr:uid="{1DDFFF83-0A6B-420C-9E73-2DA7119865AF}"/>
    <cellStyle name="Normal 3" xfId="3" xr:uid="{956BBF55-E2EC-49AB-8875-ABEB3A23FB73}"/>
    <cellStyle name="Normal 4" xfId="7" xr:uid="{1275339C-E431-4230-B835-AA4DE0B7A031}"/>
    <cellStyle name="Normal 5" xfId="11" xr:uid="{BE258662-D6B5-4B9C-93EA-0195A19B2E2D}"/>
    <cellStyle name="Per cent" xfId="10" builtinId="5"/>
    <cellStyle name="Percent 2" xfId="4" xr:uid="{F5E5D1B2-9D87-4C99-ADC2-88DAC2F62ED6}"/>
    <cellStyle name="Percent 3" xfId="13" xr:uid="{D02F1CDB-A73E-4275-8376-4257A70FE2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bility K" id="{076C917B-7573-43EE-B2DE-602D99FBA061}" userId="4bfe99e9c23b62af" providerId="Windows Live"/>
  <person displayName="Sarah Hennell" id="{5BAD09AC-FD95-48F7-9FD6-26A28608D696}" userId="S::sarah.hennell@fcdo.gov.uk::dc7f400b-f6e9-46c0-9413-21c62129732d" providerId="AD"/>
  <person displayName="Evans Rwamuhuru" id="{CAF48710-FCE7-493C-9A76-63FEA338CC36}" userId="S::Evans.Rwamuhuru@fco.gov.uk::0688a9d7-e140-4e68-9414-ac5e1fb8c1c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5-03-07T08:39:50.83" personId="{CAF48710-FCE7-493C-9A76-63FEA338CC36}" id="{77EDE117-5040-4C7E-B334-7933D85476C8}">
    <text>1. GGF are measuring new Jobs from FY26/27, 
2. MA are only contributing to new jobs and not jobs with improved income
3. MA doesn’t have women’s target (although they will report. We need to agree that they set the targets)</text>
  </threadedComment>
  <threadedComment ref="K5" dT="2025-03-21T12:10:49.72" personId="{5BAD09AC-FD95-48F7-9FD6-26A28608D696}" id="{25A02613-2328-403E-BAB7-23D36D93CCB3}">
    <text>Number of jobs is reported cumulatively so shouldn’t be less than the year before.</text>
  </threadedComment>
  <threadedComment ref="K7" dT="2025-03-21T12:13:07.42" personId="{5BAD09AC-FD95-48F7-9FD6-26A28608D696}" id="{E5A14CF9-AC16-430D-89B3-5172E58B7B31}">
    <text>I’ve suggested using 30%</text>
  </threadedComment>
  <threadedComment ref="B34" dT="2025-03-07T08:38:30.01" personId="{CAF48710-FCE7-493C-9A76-63FEA338CC36}" id="{03F19AAF-B563-4AB3-AD83-127C57FCA9EF}">
    <text>Both MA and GGF are not contributing while their budget is 70% ICF</text>
  </threadedComment>
  <threadedComment ref="B57" dT="2025-03-07T08:55:52.98" personId="{CAF48710-FCE7-493C-9A76-63FEA338CC36}" id="{6A60E386-7513-4F43-9CBD-9BE98942D9CB}">
    <text>Again, MA doesn’t have planned target for investment mobilized of which meet the 2x gender challenge</text>
  </threadedComment>
  <threadedComment ref="B75" dT="2025-03-07T08:37:36.62" personId="{CAF48710-FCE7-493C-9A76-63FEA338CC36}" id="{10F6209A-0F34-432A-9DCD-1737DB6F8DD5}">
    <text>MA not contributing despite having a 70% ICF budget?</text>
  </threadedComment>
  <threadedComment ref="B92" dT="2025-03-07T08:36:12.66" personId="{CAF48710-FCE7-493C-9A76-63FEA338CC36}" id="{53B9DD2C-B083-49C1-B278-D551ABDA0089}">
    <text>MA not contributing?</text>
  </threadedComment>
  <threadedComment ref="B139" dT="2025-03-07T09:36:58.53" personId="{CAF48710-FCE7-493C-9A76-63FEA338CC36}" id="{DEFE6A26-D951-4884-A04B-D2282BF79FB0}">
    <text>GGF indicate to measure and report this at the end of the programme, Dec 2027? Is it?</text>
  </threadedComment>
</ThreadedComments>
</file>

<file path=xl/threadedComments/threadedComment2.xml><?xml version="1.0" encoding="utf-8"?>
<ThreadedComments xmlns="http://schemas.microsoft.com/office/spreadsheetml/2018/threadedcomments" xmlns:x="http://schemas.openxmlformats.org/spreadsheetml/2006/main">
  <threadedComment ref="I31" dT="2023-07-18T14:36:03.37" personId="{076C917B-7573-43EE-B2DE-602D99FBA061}" id="{2F973C77-6722-4B48-8493-A6D63EA192EA}">
    <text>approved loan amount for C&amp;E loans</text>
  </threadedComment>
</ThreadedComments>
</file>

<file path=xl/threadedComments/threadedComment3.xml><?xml version="1.0" encoding="utf-8"?>
<ThreadedComments xmlns="http://schemas.microsoft.com/office/spreadsheetml/2018/threadedcomments" xmlns:x="http://schemas.openxmlformats.org/spreadsheetml/2006/main">
  <threadedComment ref="B66" dT="2025-03-07T13:44:42.63" personId="{CAF48710-FCE7-493C-9A76-63FEA338CC36}" id="{6AA140B7-2A76-4693-8E2B-DA30908E147E}">
    <text>Why not report which meet 2x?</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086DE-F40A-44A0-84F0-157C37832F17}">
  <sheetPr>
    <tabColor rgb="FF1F497D"/>
    <pageSetUpPr fitToPage="1"/>
  </sheetPr>
  <dimension ref="A1:V305"/>
  <sheetViews>
    <sheetView tabSelected="1" topLeftCell="A314" zoomScale="82" zoomScaleNormal="90" workbookViewId="0">
      <selection activeCell="J332" sqref="J332"/>
    </sheetView>
  </sheetViews>
  <sheetFormatPr defaultColWidth="8.85546875" defaultRowHeight="12.6" outlineLevelRow="1"/>
  <cols>
    <col min="1" max="1" width="14.85546875" style="726" customWidth="1"/>
    <col min="2" max="2" width="33.42578125" style="726" customWidth="1"/>
    <col min="3" max="3" width="23.140625" style="324" customWidth="1"/>
    <col min="4" max="4" width="20.140625" style="325" hidden="1" customWidth="1"/>
    <col min="5" max="5" width="18.7109375" style="325" hidden="1" customWidth="1"/>
    <col min="6" max="6" width="7.5703125" style="325" hidden="1" customWidth="1"/>
    <col min="7" max="7" width="18.7109375" style="325" hidden="1" customWidth="1"/>
    <col min="8" max="8" width="22.7109375" style="325" customWidth="1"/>
    <col min="9" max="9" width="24.140625" style="325" customWidth="1"/>
    <col min="10" max="10" width="25" style="325" customWidth="1"/>
    <col min="11" max="11" width="20.5703125" style="325" customWidth="1"/>
    <col min="12" max="12" width="3.85546875" style="325" customWidth="1"/>
    <col min="13" max="13" width="22.5703125" style="325" customWidth="1"/>
    <col min="14" max="14" width="25" style="325" customWidth="1"/>
    <col min="15" max="15" width="14.140625" style="136" customWidth="1"/>
    <col min="16" max="16" width="10" style="136" customWidth="1"/>
    <col min="17" max="17" width="9" style="136" bestFit="1" customWidth="1"/>
    <col min="18" max="18" width="9.7109375" style="136" bestFit="1" customWidth="1"/>
    <col min="19" max="22" width="10.7109375" style="136" bestFit="1" customWidth="1"/>
    <col min="23" max="16384" width="8.85546875" style="136"/>
  </cols>
  <sheetData>
    <row r="1" spans="1:22" ht="21.95" customHeight="1" thickBot="1">
      <c r="A1" s="1076" t="s">
        <v>0</v>
      </c>
      <c r="B1" s="1077"/>
      <c r="C1" s="1077"/>
      <c r="D1" s="1077"/>
      <c r="E1" s="1077"/>
      <c r="F1" s="1077"/>
      <c r="G1" s="1077"/>
      <c r="H1" s="1077"/>
      <c r="I1" s="1077"/>
      <c r="J1" s="1078" t="s">
        <v>1</v>
      </c>
      <c r="K1" s="1078"/>
      <c r="L1" s="1078"/>
      <c r="M1" s="1078"/>
      <c r="N1" s="1079"/>
    </row>
    <row r="2" spans="1:22" ht="13.9" customHeight="1" thickBot="1">
      <c r="A2" s="727" t="s">
        <v>2</v>
      </c>
      <c r="B2" s="712" t="s">
        <v>3</v>
      </c>
      <c r="C2" s="137"/>
      <c r="D2" s="138" t="s">
        <v>4</v>
      </c>
      <c r="E2" s="139">
        <v>44742</v>
      </c>
      <c r="F2" s="139">
        <v>45107</v>
      </c>
      <c r="G2" s="139">
        <v>45381</v>
      </c>
      <c r="H2" s="139">
        <v>45746</v>
      </c>
      <c r="I2" s="139">
        <v>46111</v>
      </c>
      <c r="J2" s="140">
        <v>46476</v>
      </c>
      <c r="K2" s="140">
        <v>46752</v>
      </c>
      <c r="L2" s="141" t="s">
        <v>5</v>
      </c>
      <c r="M2" s="141" t="s">
        <v>6</v>
      </c>
      <c r="N2" s="789"/>
    </row>
    <row r="3" spans="1:22" ht="13.9" customHeight="1" thickBot="1">
      <c r="A3" s="1043" t="s">
        <v>7</v>
      </c>
      <c r="B3" s="1081" t="s">
        <v>8</v>
      </c>
      <c r="C3" s="893" t="s">
        <v>9</v>
      </c>
      <c r="D3" s="894" t="str">
        <f>IF(ISERROR((D5+D7+D9)/(D4+D6+D8)),"-",TEXT(D4+D6+D8,"0,0") &amp; " (" &amp; TEXT((D5+D7+D9)/(D4+D6+D8),"0%") &amp; ")")</f>
        <v>-</v>
      </c>
      <c r="E3" s="894" t="str">
        <f>IF(ISERROR((E5+E7+E9)/(E4+E6+E8)),"-",TEXT(E4+E6+E8,"0") &amp; " (" &amp; TEXT((E5+E7+E9)/(E4+E6+E8),"0%") &amp; ")")</f>
        <v>6 (30%)</v>
      </c>
      <c r="F3" s="894" t="str">
        <f t="shared" ref="F3:K3" si="0">IF(ISERROR((F5+F7+F9)/(F4+F6+F8)),"-",TEXT(F4+F6+F8,"0,0") &amp; " (" &amp; TEXT((F5+F7+F9)/(F4+F6+F8),"0%") &amp; ")")</f>
        <v>21 (30%)</v>
      </c>
      <c r="G3" s="894" t="str">
        <f>IF(ISERROR((G5+G7+G9)/(G4+G6+G8)),"-",TEXT(G4+G6+G8,"0,0") &amp; " (" &amp; TEXT((G5+G7+G9)/(G4+G6+G8),"0%") &amp; ")")</f>
        <v>36 (30%)</v>
      </c>
      <c r="H3" s="894" t="str">
        <f t="shared" si="0"/>
        <v>298 (30%)</v>
      </c>
      <c r="I3" s="894" t="str">
        <f t="shared" si="0"/>
        <v>874 (30%)</v>
      </c>
      <c r="J3" s="894" t="str">
        <f>IF(ISERROR((J5+J7+J9)/(J4+J6+J8)),"-",TEXT(J4+J6+J8,"0,0") &amp; " (" &amp; TEXT((J5+J7+J9)/(J4+J6+J8),"0%") &amp; ")")</f>
        <v>2,171 (30%)</v>
      </c>
      <c r="K3" s="894" t="str">
        <f t="shared" si="0"/>
        <v>3,732 (30%)</v>
      </c>
      <c r="L3" s="142"/>
      <c r="M3" s="143"/>
      <c r="N3" s="790"/>
      <c r="Q3" s="144"/>
      <c r="R3" s="144"/>
      <c r="S3" s="144"/>
      <c r="T3" s="145"/>
      <c r="U3" s="145"/>
      <c r="V3" s="145"/>
    </row>
    <row r="4" spans="1:22" ht="13.9" customHeight="1" outlineLevel="1" thickBot="1">
      <c r="A4" s="1043"/>
      <c r="B4" s="1082"/>
      <c r="C4" s="146" t="s">
        <v>10</v>
      </c>
      <c r="D4" s="147">
        <v>0</v>
      </c>
      <c r="E4" s="147">
        <v>5.9375</v>
      </c>
      <c r="F4" s="147">
        <v>20.9375</v>
      </c>
      <c r="G4" s="147">
        <v>36.328125</v>
      </c>
      <c r="H4" s="147">
        <f>'Aceli Africa'!N3</f>
        <v>55.753125000000004</v>
      </c>
      <c r="I4" s="147">
        <f>'Aceli Africa'!P3</f>
        <v>68.353125000000006</v>
      </c>
      <c r="J4" s="147">
        <f>'Aceli Africa'!Q3</f>
        <v>68.353125000000006</v>
      </c>
      <c r="K4" s="147">
        <f>'Aceli Africa'!R3</f>
        <v>0</v>
      </c>
      <c r="L4" s="148"/>
      <c r="M4" s="148" t="s">
        <v>11</v>
      </c>
      <c r="N4" s="790"/>
      <c r="Q4" s="144"/>
      <c r="R4" s="144"/>
      <c r="S4" s="144"/>
      <c r="T4" s="145"/>
      <c r="U4" s="145"/>
      <c r="V4" s="145"/>
    </row>
    <row r="5" spans="1:22" s="153" customFormat="1" ht="13.9" customHeight="1" outlineLevel="1">
      <c r="A5" s="1043"/>
      <c r="B5" s="1082"/>
      <c r="C5" s="149" t="s">
        <v>12</v>
      </c>
      <c r="D5" s="150">
        <v>0</v>
      </c>
      <c r="E5" s="151">
        <v>1.78125</v>
      </c>
      <c r="F5" s="151">
        <v>6.28125</v>
      </c>
      <c r="G5" s="151">
        <v>10.8984375</v>
      </c>
      <c r="H5" s="932">
        <f>'Aceli Africa'!N4</f>
        <v>16.725937500000001</v>
      </c>
      <c r="I5" s="933">
        <f>'Aceli Africa'!P4</f>
        <v>20.505937500000002</v>
      </c>
      <c r="J5" s="933">
        <f>'Aceli Africa'!Q4</f>
        <v>20.505937500000002</v>
      </c>
      <c r="K5" s="933">
        <f>'Aceli Africa'!R4</f>
        <v>0</v>
      </c>
      <c r="L5" s="152"/>
      <c r="M5" s="148"/>
      <c r="N5" s="790"/>
      <c r="Q5" s="154"/>
      <c r="R5" s="154"/>
      <c r="S5" s="154"/>
      <c r="T5" s="155"/>
      <c r="U5" s="155"/>
      <c r="V5" s="155"/>
    </row>
    <row r="6" spans="1:22" ht="13.9" customHeight="1" outlineLevel="1">
      <c r="A6" s="1043"/>
      <c r="B6" s="1082"/>
      <c r="C6" s="156" t="s">
        <v>13</v>
      </c>
      <c r="D6" s="157"/>
      <c r="E6" s="157"/>
      <c r="F6" s="157"/>
      <c r="G6" s="157"/>
      <c r="H6" s="158">
        <f>'Manufacturing Africa'!F9</f>
        <v>242</v>
      </c>
      <c r="I6" s="158">
        <f>'Manufacturing Africa'!G9</f>
        <v>806</v>
      </c>
      <c r="J6" s="158">
        <f>'Manufacturing Africa'!H9</f>
        <v>1770</v>
      </c>
      <c r="K6" s="158">
        <f>'Manufacturing Africa'!I9</f>
        <v>2732</v>
      </c>
      <c r="L6" s="159"/>
      <c r="M6" s="148"/>
      <c r="N6" s="790"/>
      <c r="Q6" s="144"/>
      <c r="R6" s="144"/>
      <c r="S6" s="144"/>
      <c r="T6" s="145"/>
      <c r="U6" s="145"/>
      <c r="V6" s="145"/>
    </row>
    <row r="7" spans="1:22" s="153" customFormat="1" ht="13.9" customHeight="1" outlineLevel="1">
      <c r="A7" s="1043"/>
      <c r="B7" s="1082"/>
      <c r="C7" s="149" t="s">
        <v>12</v>
      </c>
      <c r="D7" s="160"/>
      <c r="E7" s="160"/>
      <c r="F7" s="160"/>
      <c r="G7" s="160"/>
      <c r="H7" s="151">
        <f>H6*0.3</f>
        <v>72.599999999999994</v>
      </c>
      <c r="I7" s="151">
        <f t="shared" ref="I7:K7" si="1">I6*0.3</f>
        <v>241.79999999999998</v>
      </c>
      <c r="J7" s="151">
        <f t="shared" si="1"/>
        <v>531</v>
      </c>
      <c r="K7" s="151">
        <f t="shared" si="1"/>
        <v>819.6</v>
      </c>
      <c r="L7" s="152"/>
      <c r="M7" s="148"/>
      <c r="N7" s="790"/>
      <c r="Q7" s="154"/>
      <c r="R7" s="154"/>
      <c r="S7" s="154"/>
      <c r="T7" s="155"/>
      <c r="U7" s="155"/>
      <c r="V7" s="155"/>
    </row>
    <row r="8" spans="1:22" ht="13.9" customHeight="1" outlineLevel="1">
      <c r="A8" s="1043"/>
      <c r="B8" s="1082"/>
      <c r="C8" s="156" t="s">
        <v>14</v>
      </c>
      <c r="D8" s="157"/>
      <c r="E8" s="157"/>
      <c r="F8" s="157"/>
      <c r="G8" s="157"/>
      <c r="H8" s="938">
        <f>'Green Growth Facility'!G4</f>
        <v>0</v>
      </c>
      <c r="I8" s="938">
        <f>'Green Growth Facility'!H4</f>
        <v>0</v>
      </c>
      <c r="J8" s="939">
        <f>'Green Growth Facility'!I4</f>
        <v>333</v>
      </c>
      <c r="K8" s="939">
        <f>'Green Growth Facility'!J4</f>
        <v>1000</v>
      </c>
      <c r="L8" s="162"/>
      <c r="M8" s="148"/>
      <c r="N8" s="790"/>
      <c r="Q8" s="144"/>
      <c r="R8" s="144"/>
      <c r="S8" s="144"/>
      <c r="T8" s="145"/>
      <c r="U8" s="145"/>
      <c r="V8" s="145"/>
    </row>
    <row r="9" spans="1:22" s="153" customFormat="1" ht="13.9" customHeight="1" outlineLevel="1" thickBot="1">
      <c r="A9" s="1043"/>
      <c r="B9" s="1082"/>
      <c r="C9" s="163" t="s">
        <v>12</v>
      </c>
      <c r="D9" s="164"/>
      <c r="E9" s="164"/>
      <c r="F9" s="164"/>
      <c r="G9" s="164"/>
      <c r="H9" s="940">
        <f>'Green Growth Facility'!G5</f>
        <v>0</v>
      </c>
      <c r="I9" s="940">
        <f>'Green Growth Facility'!H5</f>
        <v>0</v>
      </c>
      <c r="J9" s="941">
        <f>'Green Growth Facility'!I5</f>
        <v>100</v>
      </c>
      <c r="K9" s="941">
        <f>'Green Growth Facility'!J5</f>
        <v>300</v>
      </c>
      <c r="L9" s="167"/>
      <c r="M9" s="148"/>
      <c r="N9" s="790"/>
      <c r="Q9" s="154"/>
      <c r="R9" s="154"/>
      <c r="S9" s="154"/>
      <c r="T9" s="155"/>
      <c r="U9" s="155"/>
      <c r="V9" s="155"/>
    </row>
    <row r="10" spans="1:22" ht="27.6" customHeight="1" thickBot="1">
      <c r="A10" s="1043"/>
      <c r="B10" s="1082"/>
      <c r="C10" s="895" t="s">
        <v>15</v>
      </c>
      <c r="D10" s="896" t="str">
        <f>IF(ISERROR((D12+D14+D16)/(D11+D13+D15)),"-",TEXT(D11+D13+D15,"0,0") &amp; " (" &amp; TEXT((D12+D14+D16)/(D11+D13+D15),"0%") &amp; ")")</f>
        <v>-</v>
      </c>
      <c r="E10" s="896" t="str">
        <f t="shared" ref="E10:K10" si="2">IF(ISERROR((E12+E14+E16)/(E11+E13+E15)),"-",TEXT(E11+E13+E15,"0,0") &amp; " (" &amp; TEXT((E12+E14+E16)/(E11+E13+E15),"0%") &amp; ")")</f>
        <v>460 (30%)</v>
      </c>
      <c r="F10" s="896" t="str">
        <f t="shared" si="2"/>
        <v>1,623 (30%)</v>
      </c>
      <c r="G10" s="896" t="str">
        <f>IF(ISERROR((G12+G14+G16)/(G11+G13+G15)),"-",TEXT(G11+G13+G15,"0,0") &amp; " (" &amp; TEXT((G12+G14+G16)/(G11+G13+G15),"0%") &amp; ")")</f>
        <v>2,815 (30%)</v>
      </c>
      <c r="H10" s="896" t="str">
        <f t="shared" si="2"/>
        <v>4,084 (30%)</v>
      </c>
      <c r="I10" s="896" t="str">
        <f t="shared" si="2"/>
        <v>4,906 (30%)</v>
      </c>
      <c r="J10" s="896" t="str">
        <f t="shared" si="2"/>
        <v>13,240 (30%)</v>
      </c>
      <c r="K10" s="896" t="str">
        <f t="shared" si="2"/>
        <v>25,000 (30%)</v>
      </c>
      <c r="L10" s="168"/>
      <c r="M10" s="148"/>
      <c r="N10" s="790"/>
      <c r="Q10" s="144"/>
      <c r="R10" s="144"/>
      <c r="S10" s="144"/>
      <c r="T10" s="145"/>
      <c r="U10" s="145"/>
      <c r="V10" s="145"/>
    </row>
    <row r="11" spans="1:22" ht="13.9" customHeight="1" outlineLevel="1" thickBot="1">
      <c r="A11" s="1043"/>
      <c r="B11" s="1082"/>
      <c r="C11" s="146" t="s">
        <v>10</v>
      </c>
      <c r="D11" s="147">
        <v>0</v>
      </c>
      <c r="E11" s="147">
        <v>460.15625</v>
      </c>
      <c r="F11" s="147">
        <v>1622.65625</v>
      </c>
      <c r="G11" s="147">
        <v>2815.4296875</v>
      </c>
      <c r="H11" s="147">
        <f>'Aceli Africa'!N5</f>
        <v>4083.6046874999997</v>
      </c>
      <c r="I11" s="147">
        <f>'Aceli Africa'!P5</f>
        <v>4906.2046874999996</v>
      </c>
      <c r="J11" s="147">
        <f>'Aceli Africa'!Q5</f>
        <v>4906.2046874999996</v>
      </c>
      <c r="K11" s="147">
        <f>'Aceli Africa'!R5</f>
        <v>0</v>
      </c>
      <c r="L11" s="159"/>
      <c r="M11" s="148"/>
      <c r="N11" s="790"/>
      <c r="Q11" s="144"/>
      <c r="R11" s="144"/>
      <c r="S11" s="144"/>
      <c r="T11" s="145"/>
      <c r="U11" s="145"/>
      <c r="V11" s="145"/>
    </row>
    <row r="12" spans="1:22" s="153" customFormat="1" ht="13.9" customHeight="1" outlineLevel="1">
      <c r="A12" s="1043"/>
      <c r="B12" s="1082"/>
      <c r="C12" s="149" t="s">
        <v>12</v>
      </c>
      <c r="D12" s="150">
        <v>0</v>
      </c>
      <c r="E12" s="151">
        <v>138.046875</v>
      </c>
      <c r="F12" s="151">
        <v>486.796875</v>
      </c>
      <c r="G12" s="151">
        <v>844.62890625</v>
      </c>
      <c r="H12" s="933">
        <f>'Aceli Africa'!N6</f>
        <v>1225.0814062499999</v>
      </c>
      <c r="I12" s="933">
        <f>'Aceli Africa'!P6</f>
        <v>1471.8614062499998</v>
      </c>
      <c r="J12" s="933">
        <f>'Aceli Africa'!Q6</f>
        <v>1471.8614062499998</v>
      </c>
      <c r="K12" s="933">
        <f>'Aceli Africa'!R6</f>
        <v>0</v>
      </c>
      <c r="L12" s="169"/>
      <c r="M12" s="148"/>
      <c r="N12" s="790"/>
      <c r="Q12" s="154"/>
      <c r="R12" s="154"/>
      <c r="S12" s="154"/>
      <c r="T12" s="155"/>
      <c r="U12" s="155"/>
      <c r="V12" s="155"/>
    </row>
    <row r="13" spans="1:22" ht="13.9" customHeight="1" outlineLevel="1">
      <c r="A13" s="1043"/>
      <c r="B13" s="1082"/>
      <c r="C13" s="156" t="s">
        <v>13</v>
      </c>
      <c r="D13" s="157"/>
      <c r="E13" s="157"/>
      <c r="F13" s="157"/>
      <c r="G13" s="157"/>
      <c r="H13" s="157"/>
      <c r="I13" s="157"/>
      <c r="J13" s="157"/>
      <c r="K13" s="157"/>
      <c r="L13" s="162"/>
      <c r="M13" s="148"/>
      <c r="N13" s="790"/>
      <c r="Q13" s="144"/>
      <c r="R13" s="144"/>
      <c r="S13" s="144"/>
      <c r="T13" s="145"/>
      <c r="U13" s="145"/>
      <c r="V13" s="145"/>
    </row>
    <row r="14" spans="1:22" s="153" customFormat="1" ht="13.9" customHeight="1" outlineLevel="1">
      <c r="A14" s="1043"/>
      <c r="B14" s="1082"/>
      <c r="C14" s="149" t="s">
        <v>12</v>
      </c>
      <c r="D14" s="160"/>
      <c r="E14" s="160"/>
      <c r="F14" s="160"/>
      <c r="G14" s="160"/>
      <c r="H14" s="934"/>
      <c r="I14" s="160"/>
      <c r="J14" s="160"/>
      <c r="K14" s="160"/>
      <c r="L14" s="167"/>
      <c r="M14" s="148"/>
      <c r="N14" s="790"/>
      <c r="Q14" s="154"/>
      <c r="R14" s="154"/>
      <c r="S14" s="154"/>
      <c r="T14" s="155"/>
      <c r="U14" s="155"/>
      <c r="V14" s="155"/>
    </row>
    <row r="15" spans="1:22" ht="13.9" customHeight="1" outlineLevel="1">
      <c r="A15" s="1043"/>
      <c r="B15" s="1082"/>
      <c r="C15" s="156" t="s">
        <v>14</v>
      </c>
      <c r="D15" s="157"/>
      <c r="E15" s="157"/>
      <c r="F15" s="157"/>
      <c r="G15" s="157"/>
      <c r="H15" s="938">
        <f>'Green Growth Facility'!G6</f>
        <v>0</v>
      </c>
      <c r="I15" s="938">
        <f>'Green Growth Facility'!H6</f>
        <v>0</v>
      </c>
      <c r="J15" s="158">
        <f>'Green Growth Facility'!I6</f>
        <v>8333.3333333333321</v>
      </c>
      <c r="K15" s="161">
        <f>'Green Growth Facility'!J6</f>
        <v>25000</v>
      </c>
      <c r="L15" s="162"/>
      <c r="M15" s="148"/>
      <c r="N15" s="790"/>
      <c r="Q15" s="144"/>
      <c r="R15" s="144"/>
      <c r="S15" s="144"/>
      <c r="T15" s="145"/>
      <c r="U15" s="145"/>
      <c r="V15" s="145"/>
    </row>
    <row r="16" spans="1:22" s="153" customFormat="1" ht="13.9" customHeight="1" outlineLevel="1" thickBot="1">
      <c r="A16" s="1043"/>
      <c r="B16" s="1082"/>
      <c r="C16" s="163" t="s">
        <v>12</v>
      </c>
      <c r="D16" s="164"/>
      <c r="E16" s="164"/>
      <c r="F16" s="164"/>
      <c r="G16" s="164"/>
      <c r="H16" s="939">
        <f>'Green Growth Facility'!G7</f>
        <v>0</v>
      </c>
      <c r="I16" s="939">
        <f>'Green Growth Facility'!H7</f>
        <v>0</v>
      </c>
      <c r="J16" s="165">
        <f>'Green Growth Facility'!I7</f>
        <v>2499.9999999999995</v>
      </c>
      <c r="K16" s="166">
        <f>'Green Growth Facility'!J7</f>
        <v>7500</v>
      </c>
      <c r="L16" s="167"/>
      <c r="M16" s="148"/>
      <c r="N16" s="790"/>
      <c r="Q16" s="154"/>
      <c r="R16" s="154"/>
      <c r="S16" s="154"/>
      <c r="T16" s="155"/>
      <c r="U16" s="155"/>
      <c r="V16" s="155"/>
    </row>
    <row r="17" spans="1:22" ht="13.9" customHeight="1" thickBot="1">
      <c r="A17" s="1043"/>
      <c r="B17" s="1082"/>
      <c r="C17" s="822" t="s">
        <v>16</v>
      </c>
      <c r="D17" s="823" t="str">
        <f>IF(ISERROR((D19+D21+D23)/(D18+D20+D22)),"-",TEXT(D18+D20+D22,"0,0") &amp; " (" &amp; TEXT((D19+D21+D23)/(D18+D20+D22),"0%") &amp; ")")</f>
        <v>-</v>
      </c>
      <c r="E17" s="824" t="str">
        <f>IF(ISERROR((E19+E21+E23)/(E18+E20+E22)),"-",TEXT(E18+E20+E22,"0") &amp; " (" &amp; TEXT((E19+E21+E23)/(E18+E20+E22),"0%") &amp; ")")</f>
        <v>9 (33%)</v>
      </c>
      <c r="F17" s="824" t="str">
        <f t="shared" ref="F17:K17" si="3">IF(ISERROR((F19+F21+F23)/(F18+F20+F22)),"-",TEXT(F18+F20+F22,"0,0") &amp; " (" &amp; TEXT((F19+F21+F23)/(F18+F20+F22),"0%") &amp; ")")</f>
        <v>-</v>
      </c>
      <c r="G17" s="824" t="str">
        <f>IF(ISERROR((G19+G21+G23)/(G18+G20+G22)),"-",TEXT(G18+G20+G22,"0,0") &amp; " (" &amp; TEXT((G19+G21+G23)/(G18+G20+G22),"0%") &amp; ")")</f>
        <v>30 (29%)</v>
      </c>
      <c r="H17" s="824" t="str">
        <f t="shared" si="3"/>
        <v>638 (13%)</v>
      </c>
      <c r="I17" s="824" t="str">
        <f t="shared" si="3"/>
        <v>-</v>
      </c>
      <c r="J17" s="825" t="str">
        <f t="shared" si="3"/>
        <v>-</v>
      </c>
      <c r="K17" s="825" t="str">
        <f t="shared" si="3"/>
        <v>-</v>
      </c>
      <c r="L17" s="170"/>
      <c r="M17" s="148"/>
      <c r="N17" s="790"/>
      <c r="Q17" s="144"/>
      <c r="R17" s="144"/>
      <c r="S17" s="144"/>
      <c r="T17" s="145"/>
      <c r="U17" s="145"/>
      <c r="V17" s="145"/>
    </row>
    <row r="18" spans="1:22" ht="13.9" customHeight="1" outlineLevel="1" thickBot="1">
      <c r="A18" s="1043"/>
      <c r="B18" s="1082"/>
      <c r="C18" s="146" t="s">
        <v>10</v>
      </c>
      <c r="D18" s="171">
        <v>0</v>
      </c>
      <c r="E18" s="172">
        <v>9</v>
      </c>
      <c r="F18" s="172">
        <v>0</v>
      </c>
      <c r="G18" s="172">
        <v>29.6</v>
      </c>
      <c r="H18" s="172">
        <f>'Aceli Africa'!N7</f>
        <v>58.2</v>
      </c>
      <c r="I18" s="172">
        <f>'Aceli Africa'!P7</f>
        <v>0</v>
      </c>
      <c r="J18" s="172">
        <f>'Aceli Africa'!Q7</f>
        <v>0</v>
      </c>
      <c r="K18" s="172">
        <f>'Aceli Africa'!R7</f>
        <v>0</v>
      </c>
      <c r="L18" s="162"/>
      <c r="M18" s="148"/>
      <c r="N18" s="790"/>
      <c r="Q18" s="144"/>
      <c r="R18" s="144"/>
      <c r="S18" s="144"/>
      <c r="T18" s="145"/>
      <c r="U18" s="145"/>
      <c r="V18" s="145"/>
    </row>
    <row r="19" spans="1:22" s="153" customFormat="1" ht="13.9" customHeight="1" outlineLevel="1">
      <c r="A19" s="1043"/>
      <c r="B19" s="1082"/>
      <c r="C19" s="149" t="s">
        <v>12</v>
      </c>
      <c r="D19" s="173">
        <v>0</v>
      </c>
      <c r="E19" s="151">
        <v>3</v>
      </c>
      <c r="F19" s="151">
        <v>0</v>
      </c>
      <c r="G19" s="151">
        <v>8.5250000000000004</v>
      </c>
      <c r="H19" s="936">
        <f>'Aceli Africa'!N8</f>
        <v>17.46</v>
      </c>
      <c r="I19" s="937">
        <f>'Aceli Africa'!P8</f>
        <v>0</v>
      </c>
      <c r="J19" s="937">
        <f>'Aceli Africa'!Q8</f>
        <v>0</v>
      </c>
      <c r="K19" s="937">
        <f>'Aceli Africa'!R8</f>
        <v>0</v>
      </c>
      <c r="L19" s="167"/>
      <c r="M19" s="148"/>
      <c r="N19" s="790"/>
      <c r="Q19" s="154"/>
      <c r="R19" s="154"/>
      <c r="S19" s="154"/>
      <c r="T19" s="155"/>
      <c r="U19" s="155"/>
      <c r="V19" s="155"/>
    </row>
    <row r="20" spans="1:22" ht="13.9" customHeight="1" outlineLevel="1">
      <c r="A20" s="1043"/>
      <c r="B20" s="1082"/>
      <c r="C20" s="156" t="s">
        <v>13</v>
      </c>
      <c r="D20" s="157"/>
      <c r="E20" s="157"/>
      <c r="F20" s="157"/>
      <c r="G20" s="157"/>
      <c r="H20" s="158">
        <f>'Manufacturing Africa'!F10</f>
        <v>0</v>
      </c>
      <c r="I20" s="158">
        <f>'Manufacturing Africa'!G10</f>
        <v>0</v>
      </c>
      <c r="J20" s="158">
        <f>'Manufacturing Africa'!H10</f>
        <v>0</v>
      </c>
      <c r="K20" s="158">
        <f>'Manufacturing Africa'!I10</f>
        <v>0</v>
      </c>
      <c r="L20" s="162"/>
      <c r="M20" s="148"/>
      <c r="N20" s="790"/>
      <c r="Q20" s="144"/>
      <c r="R20" s="144"/>
      <c r="S20" s="144"/>
      <c r="T20" s="145"/>
      <c r="U20" s="145"/>
      <c r="V20" s="145"/>
    </row>
    <row r="21" spans="1:22" s="153" customFormat="1" ht="13.9" customHeight="1" outlineLevel="1">
      <c r="A21" s="1043"/>
      <c r="B21" s="1082"/>
      <c r="C21" s="149" t="s">
        <v>12</v>
      </c>
      <c r="D21" s="160"/>
      <c r="E21" s="160"/>
      <c r="F21" s="160"/>
      <c r="G21" s="160"/>
      <c r="H21" s="151">
        <f>'Manufacturing Africa'!F11</f>
        <v>0</v>
      </c>
      <c r="I21" s="151">
        <f>'Manufacturing Africa'!G11</f>
        <v>0</v>
      </c>
      <c r="J21" s="151">
        <f>'Manufacturing Africa'!H11</f>
        <v>0</v>
      </c>
      <c r="K21" s="151">
        <f>'Manufacturing Africa'!I11</f>
        <v>0</v>
      </c>
      <c r="L21" s="167"/>
      <c r="M21" s="148"/>
      <c r="N21" s="790"/>
      <c r="Q21" s="154"/>
      <c r="R21" s="154"/>
      <c r="S21" s="154"/>
      <c r="T21" s="155"/>
      <c r="U21" s="155"/>
      <c r="V21" s="155"/>
    </row>
    <row r="22" spans="1:22" ht="13.9" customHeight="1" outlineLevel="1">
      <c r="A22" s="1043"/>
      <c r="B22" s="1082"/>
      <c r="C22" s="156" t="s">
        <v>14</v>
      </c>
      <c r="D22" s="157"/>
      <c r="E22" s="157"/>
      <c r="F22" s="157"/>
      <c r="G22" s="157"/>
      <c r="H22" s="158">
        <f>'Green Growth Facility'!G8</f>
        <v>580</v>
      </c>
      <c r="I22" s="158">
        <f>'Green Growth Facility'!H8</f>
        <v>0</v>
      </c>
      <c r="J22" s="158">
        <f>'Green Growth Facility'!I8</f>
        <v>0</v>
      </c>
      <c r="K22" s="158">
        <f>'Green Growth Facility'!J8</f>
        <v>0</v>
      </c>
      <c r="L22" s="162"/>
      <c r="M22" s="148"/>
      <c r="N22" s="790"/>
      <c r="Q22" s="144"/>
      <c r="R22" s="144"/>
      <c r="S22" s="144"/>
      <c r="T22" s="145"/>
      <c r="U22" s="145"/>
      <c r="V22" s="145"/>
    </row>
    <row r="23" spans="1:22" s="153" customFormat="1" ht="13.9" customHeight="1" outlineLevel="1" thickBot="1">
      <c r="A23" s="1043"/>
      <c r="B23" s="1082"/>
      <c r="C23" s="163" t="s">
        <v>12</v>
      </c>
      <c r="D23" s="164"/>
      <c r="E23" s="164"/>
      <c r="F23" s="164"/>
      <c r="G23" s="164"/>
      <c r="H23" s="165">
        <f>'Green Growth Facility'!G9</f>
        <v>66</v>
      </c>
      <c r="I23" s="165">
        <f>'Green Growth Facility'!H9</f>
        <v>0</v>
      </c>
      <c r="J23" s="165">
        <f>'Green Growth Facility'!I9</f>
        <v>0</v>
      </c>
      <c r="K23" s="165">
        <f>'Green Growth Facility'!J9</f>
        <v>0</v>
      </c>
      <c r="L23" s="167"/>
      <c r="M23" s="148"/>
      <c r="N23" s="790"/>
      <c r="Q23" s="154"/>
      <c r="R23" s="154"/>
      <c r="S23" s="154"/>
      <c r="T23" s="155"/>
      <c r="U23" s="155"/>
      <c r="V23" s="155"/>
    </row>
    <row r="24" spans="1:22" ht="27" customHeight="1" thickBot="1">
      <c r="A24" s="1043"/>
      <c r="B24" s="1082"/>
      <c r="C24" s="816" t="s">
        <v>17</v>
      </c>
      <c r="D24" s="820" t="str">
        <f>IF(ISERROR((D26+D28+D30)/(D25+D27+D29)),"-",TEXT(D25+D27+D29,"0,0") &amp; " (" &amp; TEXT((D26+D28+D30)/(D25+D27+D29),"0%") &amp; ")")</f>
        <v>-</v>
      </c>
      <c r="E24" s="818" t="str">
        <f t="shared" ref="E24:K24" si="4">IF(ISERROR((E26+E28+E30)/(E25+E27+E29)),"-",TEXT(E25+E27+E29,"0,0") &amp; " (" &amp; TEXT((E26+E28+E30)/(E25+E27+E29),"0%") &amp; ")")</f>
        <v>331 (56%)</v>
      </c>
      <c r="F24" s="818" t="str">
        <f t="shared" si="4"/>
        <v>-</v>
      </c>
      <c r="G24" s="818" t="str">
        <f t="shared" si="4"/>
        <v>1,300 (32%)</v>
      </c>
      <c r="H24" s="818" t="str">
        <f t="shared" si="4"/>
        <v>2,652 (31%)</v>
      </c>
      <c r="I24" s="818" t="str">
        <f t="shared" si="4"/>
        <v>-</v>
      </c>
      <c r="J24" s="819" t="str">
        <f t="shared" si="4"/>
        <v>-</v>
      </c>
      <c r="K24" s="821" t="str">
        <f t="shared" si="4"/>
        <v>-</v>
      </c>
      <c r="L24" s="168"/>
      <c r="M24" s="148"/>
      <c r="N24" s="790"/>
      <c r="Q24" s="144"/>
      <c r="R24" s="144"/>
      <c r="S24" s="144"/>
      <c r="T24" s="145"/>
      <c r="U24" s="145"/>
      <c r="V24" s="145"/>
    </row>
    <row r="25" spans="1:22" ht="13.9" customHeight="1" outlineLevel="1" thickBot="1">
      <c r="A25" s="1043"/>
      <c r="B25" s="1082"/>
      <c r="C25" s="174" t="s">
        <v>10</v>
      </c>
      <c r="D25" s="175">
        <v>0</v>
      </c>
      <c r="E25" s="172">
        <v>331</v>
      </c>
      <c r="F25" s="172">
        <v>0</v>
      </c>
      <c r="G25" s="172">
        <v>1300</v>
      </c>
      <c r="H25" s="172">
        <f>'Aceli Africa'!N9</f>
        <v>2646.2000000000003</v>
      </c>
      <c r="I25" s="172">
        <v>0</v>
      </c>
      <c r="J25" s="172">
        <v>0</v>
      </c>
      <c r="K25" s="172">
        <v>0</v>
      </c>
      <c r="L25" s="162"/>
      <c r="M25" s="148"/>
      <c r="N25" s="790"/>
      <c r="Q25" s="144"/>
      <c r="R25" s="144"/>
      <c r="S25" s="144"/>
      <c r="T25" s="145"/>
      <c r="U25" s="145"/>
      <c r="V25" s="145"/>
    </row>
    <row r="26" spans="1:22" s="153" customFormat="1" ht="13.9" customHeight="1" outlineLevel="1">
      <c r="A26" s="1043"/>
      <c r="B26" s="1082"/>
      <c r="C26" s="176" t="s">
        <v>12</v>
      </c>
      <c r="D26" s="177">
        <v>0</v>
      </c>
      <c r="E26" s="151">
        <v>186</v>
      </c>
      <c r="F26" s="151">
        <v>0</v>
      </c>
      <c r="G26" s="151">
        <v>414.8</v>
      </c>
      <c r="H26" s="172">
        <f>'Aceli Africa'!N10</f>
        <v>819.875</v>
      </c>
      <c r="I26" s="151">
        <v>0</v>
      </c>
      <c r="J26" s="151">
        <v>0</v>
      </c>
      <c r="K26" s="151">
        <v>0</v>
      </c>
      <c r="L26" s="167"/>
      <c r="M26" s="148"/>
      <c r="N26" s="790"/>
      <c r="Q26" s="154"/>
      <c r="R26" s="154"/>
      <c r="S26" s="154"/>
      <c r="T26" s="155"/>
      <c r="U26" s="155"/>
      <c r="V26" s="155"/>
    </row>
    <row r="27" spans="1:22" ht="13.9" customHeight="1" outlineLevel="1">
      <c r="A27" s="1043"/>
      <c r="B27" s="1082"/>
      <c r="C27" s="948" t="s">
        <v>13</v>
      </c>
      <c r="D27" s="960"/>
      <c r="E27" s="947"/>
      <c r="F27" s="947"/>
      <c r="G27" s="960"/>
      <c r="H27" s="960"/>
      <c r="I27" s="960"/>
      <c r="J27" s="960"/>
      <c r="K27" s="960"/>
      <c r="L27" s="162"/>
      <c r="M27" s="148"/>
      <c r="N27" s="790"/>
      <c r="Q27" s="144"/>
      <c r="R27" s="144"/>
      <c r="S27" s="144"/>
      <c r="T27" s="145"/>
      <c r="U27" s="145"/>
      <c r="V27" s="145"/>
    </row>
    <row r="28" spans="1:22" s="153" customFormat="1" ht="13.9" customHeight="1" outlineLevel="1">
      <c r="A28" s="1043"/>
      <c r="B28" s="1082"/>
      <c r="C28" s="946" t="s">
        <v>12</v>
      </c>
      <c r="D28" s="959"/>
      <c r="E28" s="935"/>
      <c r="F28" s="935"/>
      <c r="G28" s="959"/>
      <c r="H28" s="959"/>
      <c r="I28" s="959"/>
      <c r="J28" s="959"/>
      <c r="K28" s="959"/>
      <c r="L28" s="167"/>
      <c r="M28" s="148"/>
      <c r="N28" s="790"/>
      <c r="Q28" s="154"/>
      <c r="R28" s="154"/>
      <c r="S28" s="154"/>
      <c r="T28" s="155"/>
      <c r="U28" s="155"/>
      <c r="V28" s="155"/>
    </row>
    <row r="29" spans="1:22" ht="13.9" customHeight="1" outlineLevel="1">
      <c r="A29" s="1043"/>
      <c r="B29" s="1082"/>
      <c r="C29" s="948" t="s">
        <v>14</v>
      </c>
      <c r="D29" s="960"/>
      <c r="E29" s="947"/>
      <c r="F29" s="947"/>
      <c r="G29" s="960"/>
      <c r="H29" s="942">
        <f>'Green Growth Facility'!G10</f>
        <v>6</v>
      </c>
      <c r="I29" s="942">
        <f>'Green Growth Facility'!H10</f>
        <v>0</v>
      </c>
      <c r="J29" s="942">
        <f>'Green Growth Facility'!I10</f>
        <v>0</v>
      </c>
      <c r="K29" s="942">
        <f>'Green Growth Facility'!J10</f>
        <v>0</v>
      </c>
      <c r="L29" s="162"/>
      <c r="M29" s="148"/>
      <c r="N29" s="790"/>
      <c r="Q29" s="144"/>
      <c r="R29" s="144"/>
      <c r="S29" s="144"/>
      <c r="T29" s="145"/>
      <c r="U29" s="145"/>
      <c r="V29" s="145"/>
    </row>
    <row r="30" spans="1:22" s="153" customFormat="1" ht="13.9" customHeight="1" outlineLevel="1" thickBot="1">
      <c r="A30" s="1043"/>
      <c r="B30" s="1082"/>
      <c r="C30" s="945" t="s">
        <v>12</v>
      </c>
      <c r="D30" s="958"/>
      <c r="E30" s="944"/>
      <c r="F30" s="944"/>
      <c r="G30" s="958"/>
      <c r="H30" s="943">
        <f>'Green Growth Facility'!G11</f>
        <v>3</v>
      </c>
      <c r="I30" s="943">
        <f>'Green Growth Facility'!H11</f>
        <v>0</v>
      </c>
      <c r="J30" s="943">
        <f>'Green Growth Facility'!I11</f>
        <v>0</v>
      </c>
      <c r="K30" s="943">
        <f>'Green Growth Facility'!J11</f>
        <v>0</v>
      </c>
      <c r="L30" s="167"/>
      <c r="M30" s="148"/>
      <c r="N30" s="790"/>
      <c r="Q30" s="154"/>
      <c r="R30" s="154"/>
      <c r="S30" s="154"/>
      <c r="T30" s="155"/>
      <c r="U30" s="155"/>
      <c r="V30" s="155"/>
    </row>
    <row r="31" spans="1:22" ht="13.9" customHeight="1" thickBot="1">
      <c r="A31" s="1043"/>
      <c r="B31" s="1083"/>
      <c r="C31" s="788" t="s">
        <v>18</v>
      </c>
      <c r="D31" s="180"/>
      <c r="E31" s="180"/>
      <c r="F31" s="180"/>
      <c r="G31" s="180"/>
      <c r="H31" s="180"/>
      <c r="I31" s="180"/>
      <c r="J31" s="180"/>
      <c r="K31" s="787"/>
      <c r="L31" s="181"/>
      <c r="M31" s="181"/>
      <c r="N31" s="790"/>
      <c r="Q31" s="182"/>
      <c r="R31" s="182"/>
      <c r="S31" s="182"/>
      <c r="T31" s="182"/>
      <c r="U31" s="182"/>
      <c r="V31" s="182"/>
    </row>
    <row r="32" spans="1:22" ht="13.9" customHeight="1" thickBot="1">
      <c r="A32" s="1043"/>
      <c r="B32" s="1084"/>
      <c r="C32" s="786" t="s">
        <v>19</v>
      </c>
      <c r="D32" s="183"/>
      <c r="E32" s="183"/>
      <c r="F32" s="183"/>
      <c r="G32" s="183"/>
      <c r="H32" s="183"/>
      <c r="I32" s="183"/>
      <c r="J32" s="183"/>
      <c r="K32" s="183"/>
      <c r="L32" s="183"/>
      <c r="M32" s="184"/>
      <c r="N32" s="790"/>
      <c r="Q32" s="182"/>
      <c r="R32" s="182"/>
      <c r="S32" s="182"/>
      <c r="T32" s="182"/>
      <c r="U32" s="182"/>
      <c r="V32" s="182"/>
    </row>
    <row r="33" spans="1:22" ht="13.9" customHeight="1" thickBot="1">
      <c r="A33" s="1043"/>
      <c r="B33" s="713" t="s">
        <v>20</v>
      </c>
      <c r="C33" s="185"/>
      <c r="D33" s="186" t="str">
        <f>D$2</f>
        <v>Baseline (Jun-2021)</v>
      </c>
      <c r="E33" s="187">
        <f t="shared" ref="E33:K33" si="5">E$2</f>
        <v>44742</v>
      </c>
      <c r="F33" s="187">
        <f t="shared" si="5"/>
        <v>45107</v>
      </c>
      <c r="G33" s="187">
        <f t="shared" si="5"/>
        <v>45381</v>
      </c>
      <c r="H33" s="187">
        <f t="shared" si="5"/>
        <v>45746</v>
      </c>
      <c r="I33" s="187">
        <f t="shared" si="5"/>
        <v>46111</v>
      </c>
      <c r="J33" s="188">
        <f t="shared" si="5"/>
        <v>46476</v>
      </c>
      <c r="K33" s="188">
        <f t="shared" si="5"/>
        <v>46752</v>
      </c>
      <c r="L33" s="189"/>
      <c r="M33" s="189"/>
      <c r="N33" s="790"/>
      <c r="Q33" s="182"/>
      <c r="R33" s="182"/>
      <c r="S33" s="182"/>
      <c r="T33" s="182"/>
      <c r="U33" s="182"/>
      <c r="V33" s="182"/>
    </row>
    <row r="34" spans="1:22" ht="20.100000000000001" customHeight="1" thickBot="1">
      <c r="A34" s="1043"/>
      <c r="B34" s="1061" t="s">
        <v>21</v>
      </c>
      <c r="C34" s="895" t="s">
        <v>22</v>
      </c>
      <c r="D34" s="896" t="str">
        <f>IF(ISERROR((D36+D38+D40)/(D35+D37+D39)),"-",TEXT(D35+D37+D39,"0,0") &amp; " (" &amp; TEXT((D36+D38+D40)/(D35+D37+D39),"0%") &amp; ")")</f>
        <v>-</v>
      </c>
      <c r="E34" s="896" t="str">
        <f t="shared" ref="E34:K34" si="6">IF(ISERROR((E36+E38+E40)/(E35+E37+E39)),"-",TEXT(E35+E37+E39,"0,0") &amp; " (" &amp; TEXT((E36+E38+E40)/(E35+E37+E39),"0%") &amp; ")")</f>
        <v>1,380 (30%)</v>
      </c>
      <c r="F34" s="896" t="str">
        <f t="shared" si="6"/>
        <v>4,635 (30%)</v>
      </c>
      <c r="G34" s="896" t="str">
        <f t="shared" si="6"/>
        <v>5,362 (30%)</v>
      </c>
      <c r="H34" s="895" t="str">
        <f>IF(ISERROR((H36+H38+H40)/(H35+H37+H39)),"-",TEXT(H35+H37+H39,"0,0") &amp; " (" &amp; TEXT((H36+H38+H40)/(H35+H37+H39),"0%") &amp; ")")</f>
        <v>7,137 (30%)</v>
      </c>
      <c r="I34" s="896" t="str">
        <f t="shared" si="6"/>
        <v>8,289 (30%)</v>
      </c>
      <c r="J34" s="896" t="str">
        <f t="shared" si="6"/>
        <v>8,289 (30%)</v>
      </c>
      <c r="K34" s="896" t="str">
        <f t="shared" si="6"/>
        <v>-</v>
      </c>
      <c r="L34" s="896"/>
      <c r="M34" s="896"/>
      <c r="N34" s="896"/>
      <c r="O34" s="896"/>
      <c r="P34" s="896"/>
      <c r="Q34" s="190"/>
      <c r="R34" s="190"/>
      <c r="S34" s="190"/>
      <c r="T34" s="190"/>
      <c r="U34" s="190"/>
      <c r="V34" s="190"/>
    </row>
    <row r="35" spans="1:22" ht="13.9" customHeight="1" outlineLevel="1" thickBot="1">
      <c r="A35" s="1043"/>
      <c r="B35" s="1062"/>
      <c r="C35" s="174" t="s">
        <v>10</v>
      </c>
      <c r="D35" s="172">
        <v>0</v>
      </c>
      <c r="E35" s="172">
        <v>1380.46875</v>
      </c>
      <c r="F35" s="172">
        <v>4635.46875</v>
      </c>
      <c r="G35" s="172">
        <v>5361.7265625</v>
      </c>
      <c r="H35" s="172">
        <f>'Aceli Africa'!N14</f>
        <v>7137.1715624999997</v>
      </c>
      <c r="I35" s="172">
        <f>'Aceli Africa'!P14</f>
        <v>8288.8115624999991</v>
      </c>
      <c r="J35" s="172">
        <f>'Aceli Africa'!Q14</f>
        <v>8288.8115624999991</v>
      </c>
      <c r="K35" s="172">
        <f>'Aceli Africa'!R14</f>
        <v>0</v>
      </c>
      <c r="L35" s="191"/>
      <c r="M35" s="793" t="s">
        <v>23</v>
      </c>
      <c r="N35" s="791"/>
      <c r="Q35" s="144"/>
      <c r="R35" s="144"/>
      <c r="S35" s="144"/>
      <c r="T35" s="145"/>
      <c r="U35" s="145"/>
      <c r="V35" s="145"/>
    </row>
    <row r="36" spans="1:22" ht="13.9" customHeight="1" outlineLevel="1">
      <c r="A36" s="1043"/>
      <c r="B36" s="1062"/>
      <c r="C36" s="176" t="s">
        <v>12</v>
      </c>
      <c r="D36" s="151">
        <v>0</v>
      </c>
      <c r="E36" s="151">
        <v>414.140625</v>
      </c>
      <c r="F36" s="151">
        <v>1390.640625</v>
      </c>
      <c r="G36" s="151">
        <v>1608.5179687499999</v>
      </c>
      <c r="H36" s="936">
        <f>'Aceli Africa'!N15</f>
        <v>2141.1514687499998</v>
      </c>
      <c r="I36" s="937">
        <f>'Aceli Africa'!P15</f>
        <v>2486.6434687499996</v>
      </c>
      <c r="J36" s="937">
        <f>'Aceli Africa'!Q15</f>
        <v>2486.6434687499996</v>
      </c>
      <c r="K36" s="937">
        <f>'Aceli Africa'!R15</f>
        <v>0</v>
      </c>
      <c r="L36" s="192"/>
      <c r="M36" s="793"/>
      <c r="N36" s="791"/>
      <c r="Q36" s="144"/>
      <c r="R36" s="144"/>
      <c r="S36" s="144"/>
      <c r="T36" s="145"/>
      <c r="U36" s="145"/>
      <c r="V36" s="145"/>
    </row>
    <row r="37" spans="1:22" ht="13.9" customHeight="1" outlineLevel="1">
      <c r="A37" s="1043"/>
      <c r="B37" s="1062"/>
      <c r="C37" s="949" t="s">
        <v>13</v>
      </c>
      <c r="D37" s="950"/>
      <c r="E37" s="950">
        <v>0</v>
      </c>
      <c r="F37" s="950">
        <v>0</v>
      </c>
      <c r="G37" s="950">
        <v>0</v>
      </c>
      <c r="H37" s="950"/>
      <c r="I37" s="950"/>
      <c r="J37" s="951"/>
      <c r="K37" s="951"/>
      <c r="L37" s="159"/>
      <c r="M37" s="793"/>
      <c r="N37" s="791"/>
      <c r="Q37" s="144"/>
      <c r="R37" s="144"/>
      <c r="S37" s="144"/>
      <c r="T37" s="145"/>
      <c r="U37" s="145"/>
      <c r="V37" s="145"/>
    </row>
    <row r="38" spans="1:22" ht="13.9" customHeight="1" outlineLevel="1">
      <c r="A38" s="1043"/>
      <c r="B38" s="1062"/>
      <c r="C38" s="952" t="s">
        <v>12</v>
      </c>
      <c r="D38" s="953"/>
      <c r="E38" s="953">
        <v>0</v>
      </c>
      <c r="F38" s="953">
        <v>0</v>
      </c>
      <c r="G38" s="953">
        <v>0</v>
      </c>
      <c r="H38" s="953"/>
      <c r="I38" s="953"/>
      <c r="J38" s="954"/>
      <c r="K38" s="954"/>
      <c r="L38" s="152"/>
      <c r="M38" s="793"/>
      <c r="N38" s="791"/>
      <c r="Q38" s="144"/>
      <c r="R38" s="144"/>
      <c r="S38" s="144"/>
      <c r="T38" s="145"/>
      <c r="U38" s="145"/>
      <c r="V38" s="145"/>
    </row>
    <row r="39" spans="1:22" ht="13.9" customHeight="1" outlineLevel="1">
      <c r="A39" s="1043"/>
      <c r="B39" s="1062"/>
      <c r="C39" s="949" t="s">
        <v>14</v>
      </c>
      <c r="D39" s="950"/>
      <c r="E39" s="950">
        <v>0</v>
      </c>
      <c r="F39" s="950">
        <v>0</v>
      </c>
      <c r="G39" s="950">
        <v>0</v>
      </c>
      <c r="H39" s="950"/>
      <c r="I39" s="950"/>
      <c r="J39" s="951"/>
      <c r="K39" s="951"/>
      <c r="L39" s="159"/>
      <c r="M39" s="793"/>
      <c r="N39" s="791"/>
      <c r="Q39" s="144"/>
      <c r="R39" s="144"/>
      <c r="S39" s="144"/>
      <c r="T39" s="145"/>
      <c r="U39" s="145"/>
      <c r="V39" s="145"/>
    </row>
    <row r="40" spans="1:22" ht="13.9" customHeight="1" outlineLevel="1" thickBot="1">
      <c r="A40" s="1043"/>
      <c r="B40" s="1062"/>
      <c r="C40" s="955" t="s">
        <v>12</v>
      </c>
      <c r="D40" s="956"/>
      <c r="E40" s="956">
        <v>0</v>
      </c>
      <c r="F40" s="956">
        <v>0</v>
      </c>
      <c r="G40" s="956">
        <v>0</v>
      </c>
      <c r="H40" s="956"/>
      <c r="I40" s="956"/>
      <c r="J40" s="957"/>
      <c r="K40" s="957"/>
      <c r="L40" s="152"/>
      <c r="M40" s="793"/>
      <c r="N40" s="791"/>
      <c r="Q40" s="144"/>
      <c r="R40" s="144"/>
      <c r="S40" s="144"/>
      <c r="T40" s="145"/>
      <c r="U40" s="145"/>
      <c r="V40" s="145"/>
    </row>
    <row r="41" spans="1:22" ht="20.100000000000001" customHeight="1" thickBot="1">
      <c r="A41" s="1043"/>
      <c r="B41" s="1062"/>
      <c r="C41" s="816" t="s">
        <v>24</v>
      </c>
      <c r="D41" s="817" t="str">
        <f>IF(ISERROR((D43+D45+D47)/(D42+D44+D46)),"-",TEXT(D42+D44+D46,"0,0") &amp; " (" &amp; TEXT((D43+D45+D47)/(D42+D44+D46),"0%") &amp; ")")</f>
        <v>-</v>
      </c>
      <c r="E41" s="818" t="str">
        <f t="shared" ref="E41:K41" si="7">IF(ISERROR((E43+E45+E47)/(E42+E44+E46)),"-",TEXT(E42+E44+E46,"0,0") &amp; " (" &amp; TEXT((E43+E45+E47)/(E42+E44+E46),"0%") &amp; ")")</f>
        <v>1,613 (41%)</v>
      </c>
      <c r="F41" s="818" t="str">
        <f t="shared" si="7"/>
        <v>-</v>
      </c>
      <c r="G41" s="818" t="str">
        <f t="shared" si="7"/>
        <v>6,313 (35%)</v>
      </c>
      <c r="H41" s="818" t="str">
        <f t="shared" si="7"/>
        <v>12,417 (27%)</v>
      </c>
      <c r="I41" s="818" t="str">
        <f t="shared" si="7"/>
        <v>-</v>
      </c>
      <c r="J41" s="819" t="str">
        <f t="shared" si="7"/>
        <v>-</v>
      </c>
      <c r="K41" s="819" t="str">
        <f t="shared" si="7"/>
        <v>-</v>
      </c>
      <c r="L41" s="170"/>
      <c r="M41" s="793"/>
      <c r="N41" s="791"/>
      <c r="Q41" s="182"/>
      <c r="R41" s="182"/>
      <c r="S41" s="182"/>
      <c r="T41" s="182"/>
      <c r="U41" s="182"/>
      <c r="V41" s="182"/>
    </row>
    <row r="42" spans="1:22" ht="13.9" customHeight="1" outlineLevel="1" thickBot="1">
      <c r="A42" s="1043"/>
      <c r="B42" s="1062"/>
      <c r="C42" s="174" t="s">
        <v>10</v>
      </c>
      <c r="D42" s="194"/>
      <c r="E42" s="172">
        <v>1613</v>
      </c>
      <c r="F42" s="172">
        <v>0</v>
      </c>
      <c r="G42" s="172">
        <v>6313</v>
      </c>
      <c r="H42" s="172">
        <f>'Aceli Africa'!N16</f>
        <v>12416.5</v>
      </c>
      <c r="I42" s="172">
        <f>'Aceli Africa'!P16</f>
        <v>0</v>
      </c>
      <c r="J42" s="172">
        <f>'Aceli Africa'!Q16</f>
        <v>0</v>
      </c>
      <c r="K42" s="172">
        <f>'Aceli Africa'!R16</f>
        <v>0</v>
      </c>
      <c r="L42" s="159"/>
      <c r="M42" s="793"/>
      <c r="N42" s="791"/>
      <c r="Q42" s="144"/>
      <c r="R42" s="144"/>
      <c r="S42" s="144"/>
      <c r="T42" s="145"/>
      <c r="U42" s="145"/>
      <c r="V42" s="145"/>
    </row>
    <row r="43" spans="1:22" ht="13.9" customHeight="1" outlineLevel="1">
      <c r="A43" s="1043"/>
      <c r="B43" s="1062"/>
      <c r="C43" s="176" t="s">
        <v>12</v>
      </c>
      <c r="D43" s="195"/>
      <c r="E43" s="151">
        <v>660</v>
      </c>
      <c r="F43" s="151">
        <v>0</v>
      </c>
      <c r="G43" s="151">
        <v>2183</v>
      </c>
      <c r="H43" s="936">
        <f>'Aceli Africa'!N17</f>
        <v>3333.5</v>
      </c>
      <c r="I43" s="937">
        <f>'Aceli Africa'!P17</f>
        <v>0</v>
      </c>
      <c r="J43" s="937">
        <f>'Aceli Africa'!Q17</f>
        <v>0</v>
      </c>
      <c r="K43" s="937">
        <f>'Aceli Africa'!R17</f>
        <v>0</v>
      </c>
      <c r="L43" s="152"/>
      <c r="M43" s="793"/>
      <c r="N43" s="791"/>
      <c r="Q43" s="144"/>
      <c r="R43" s="144"/>
      <c r="S43" s="144"/>
      <c r="T43" s="145"/>
      <c r="U43" s="145"/>
      <c r="V43" s="145"/>
    </row>
    <row r="44" spans="1:22" ht="13.9" customHeight="1" outlineLevel="1">
      <c r="A44" s="1043"/>
      <c r="B44" s="1062"/>
      <c r="C44" s="961" t="s">
        <v>13</v>
      </c>
      <c r="D44" s="962"/>
      <c r="E44" s="963"/>
      <c r="F44" s="963"/>
      <c r="G44" s="963"/>
      <c r="H44" s="963"/>
      <c r="I44" s="963"/>
      <c r="J44" s="964"/>
      <c r="K44" s="964"/>
      <c r="L44" s="159"/>
      <c r="M44" s="793"/>
      <c r="N44" s="791"/>
      <c r="Q44" s="144"/>
      <c r="R44" s="144"/>
      <c r="S44" s="144"/>
      <c r="T44" s="145"/>
      <c r="U44" s="145"/>
      <c r="V44" s="145"/>
    </row>
    <row r="45" spans="1:22" ht="13.9" customHeight="1" outlineLevel="1">
      <c r="A45" s="1043"/>
      <c r="B45" s="1062"/>
      <c r="C45" s="965" t="s">
        <v>12</v>
      </c>
      <c r="D45" s="962"/>
      <c r="E45" s="966"/>
      <c r="F45" s="966"/>
      <c r="G45" s="966"/>
      <c r="H45" s="966"/>
      <c r="I45" s="966"/>
      <c r="J45" s="967"/>
      <c r="K45" s="967"/>
      <c r="L45" s="152"/>
      <c r="M45" s="793"/>
      <c r="N45" s="791"/>
      <c r="Q45" s="144"/>
      <c r="R45" s="144"/>
      <c r="S45" s="144"/>
      <c r="T45" s="145"/>
      <c r="U45" s="145"/>
      <c r="V45" s="145"/>
    </row>
    <row r="46" spans="1:22" ht="13.9" customHeight="1" outlineLevel="1">
      <c r="A46" s="1043"/>
      <c r="B46" s="1062"/>
      <c r="C46" s="961" t="s">
        <v>25</v>
      </c>
      <c r="D46" s="962"/>
      <c r="E46" s="963"/>
      <c r="F46" s="963"/>
      <c r="G46" s="963"/>
      <c r="H46" s="963"/>
      <c r="I46" s="963"/>
      <c r="J46" s="964"/>
      <c r="K46" s="964"/>
      <c r="L46" s="159"/>
      <c r="M46" s="793"/>
      <c r="N46" s="791"/>
      <c r="Q46" s="144"/>
      <c r="R46" s="144"/>
      <c r="S46" s="144"/>
      <c r="T46" s="145"/>
      <c r="U46" s="145"/>
      <c r="V46" s="145"/>
    </row>
    <row r="47" spans="1:22" ht="13.9" customHeight="1" outlineLevel="1" thickBot="1">
      <c r="A47" s="1043"/>
      <c r="B47" s="1062"/>
      <c r="C47" s="968" t="s">
        <v>12</v>
      </c>
      <c r="D47" s="969"/>
      <c r="E47" s="970"/>
      <c r="F47" s="970"/>
      <c r="G47" s="970"/>
      <c r="H47" s="970"/>
      <c r="I47" s="970"/>
      <c r="J47" s="971"/>
      <c r="K47" s="971"/>
      <c r="L47" s="152"/>
      <c r="M47" s="793"/>
      <c r="N47" s="791"/>
      <c r="Q47" s="144"/>
      <c r="R47" s="144"/>
      <c r="S47" s="144"/>
      <c r="T47" s="145"/>
      <c r="U47" s="145"/>
      <c r="V47" s="145"/>
    </row>
    <row r="48" spans="1:22" ht="13.9" customHeight="1" thickBot="1">
      <c r="A48" s="1043"/>
      <c r="B48" s="1063"/>
      <c r="C48" s="788" t="s">
        <v>18</v>
      </c>
      <c r="D48" s="180"/>
      <c r="E48" s="180"/>
      <c r="F48" s="180"/>
      <c r="G48" s="180"/>
      <c r="H48" s="180"/>
      <c r="I48" s="180"/>
      <c r="J48" s="180"/>
      <c r="K48" s="180"/>
      <c r="L48" s="197"/>
      <c r="M48" s="198"/>
      <c r="N48" s="791"/>
      <c r="Q48" s="182"/>
      <c r="R48" s="182"/>
      <c r="S48" s="182"/>
      <c r="T48" s="182"/>
      <c r="U48" s="182"/>
      <c r="V48" s="182"/>
    </row>
    <row r="49" spans="1:22" ht="21.75" customHeight="1" thickBot="1">
      <c r="A49" s="1043"/>
      <c r="B49" s="1064"/>
      <c r="C49" s="786" t="s">
        <v>26</v>
      </c>
      <c r="D49" s="183"/>
      <c r="E49" s="183"/>
      <c r="F49" s="183"/>
      <c r="G49" s="183"/>
      <c r="H49" s="183"/>
      <c r="I49" s="183"/>
      <c r="J49" s="183"/>
      <c r="K49" s="183"/>
      <c r="L49" s="183"/>
      <c r="M49" s="199"/>
      <c r="N49" s="790"/>
      <c r="Q49" s="182"/>
      <c r="R49" s="182"/>
      <c r="S49" s="182"/>
      <c r="T49" s="182"/>
      <c r="U49" s="182"/>
      <c r="V49" s="182"/>
    </row>
    <row r="50" spans="1:22" ht="13.9" customHeight="1" thickBot="1">
      <c r="A50" s="1043"/>
      <c r="B50" s="713" t="s">
        <v>27</v>
      </c>
      <c r="C50" s="200"/>
      <c r="D50" s="201" t="str">
        <f>D$2</f>
        <v>Baseline (Jun-2021)</v>
      </c>
      <c r="E50" s="139">
        <f t="shared" ref="E50:K50" si="8">E$2</f>
        <v>44742</v>
      </c>
      <c r="F50" s="139">
        <f t="shared" si="8"/>
        <v>45107</v>
      </c>
      <c r="G50" s="139">
        <f t="shared" si="8"/>
        <v>45381</v>
      </c>
      <c r="H50" s="139">
        <f t="shared" si="8"/>
        <v>45746</v>
      </c>
      <c r="I50" s="139">
        <f t="shared" si="8"/>
        <v>46111</v>
      </c>
      <c r="J50" s="140">
        <f t="shared" si="8"/>
        <v>46476</v>
      </c>
      <c r="K50" s="140">
        <f t="shared" si="8"/>
        <v>46752</v>
      </c>
      <c r="L50" s="189"/>
      <c r="M50" s="189"/>
      <c r="N50" s="790"/>
      <c r="Q50" s="182"/>
      <c r="R50" s="182"/>
      <c r="S50" s="182"/>
      <c r="T50" s="182"/>
      <c r="U50" s="182"/>
      <c r="V50" s="182"/>
    </row>
    <row r="51" spans="1:22" ht="20.100000000000001" customHeight="1" thickBot="1">
      <c r="A51" s="1043"/>
      <c r="B51" s="1085" t="s">
        <v>28</v>
      </c>
      <c r="C51" s="895" t="s">
        <v>29</v>
      </c>
      <c r="D51" s="895"/>
      <c r="E51" s="895"/>
      <c r="F51" s="895"/>
      <c r="G51" s="895"/>
      <c r="H51" s="895">
        <f>'Manufacturing Africa'!F16</f>
        <v>0</v>
      </c>
      <c r="I51" s="895">
        <f>'Manufacturing Africa'!G16</f>
        <v>0.01</v>
      </c>
      <c r="J51" s="895">
        <f>'Manufacturing Africa'!H16</f>
        <v>0.01</v>
      </c>
      <c r="K51" s="895">
        <f>'Manufacturing Africa'!I16</f>
        <v>0</v>
      </c>
      <c r="L51" s="202"/>
      <c r="M51" s="794" t="s">
        <v>30</v>
      </c>
      <c r="N51" s="791"/>
      <c r="P51" s="159"/>
      <c r="Q51" s="190"/>
      <c r="R51" s="190"/>
      <c r="S51" s="190"/>
      <c r="T51" s="190"/>
      <c r="U51" s="190"/>
      <c r="V51" s="190"/>
    </row>
    <row r="52" spans="1:22" ht="20.100000000000001" customHeight="1" thickBot="1">
      <c r="A52" s="1043"/>
      <c r="B52" s="1086"/>
      <c r="C52" s="812" t="s">
        <v>31</v>
      </c>
      <c r="D52" s="826"/>
      <c r="E52" s="826"/>
      <c r="F52" s="826"/>
      <c r="G52" s="826"/>
      <c r="H52" s="827">
        <f>'Manufacturing Africa'!F17</f>
        <v>0.02</v>
      </c>
      <c r="I52" s="827">
        <f>'Manufacturing Africa'!G17</f>
        <v>0</v>
      </c>
      <c r="J52" s="827">
        <f>'Manufacturing Africa'!H17</f>
        <v>0</v>
      </c>
      <c r="K52" s="828">
        <f>'Manufacturing Africa'!I17</f>
        <v>0</v>
      </c>
      <c r="L52" s="203"/>
      <c r="M52" s="795"/>
      <c r="N52" s="791"/>
      <c r="Q52" s="182"/>
      <c r="R52" s="182"/>
      <c r="S52" s="182"/>
      <c r="T52" s="182"/>
      <c r="U52" s="182"/>
      <c r="V52" s="182"/>
    </row>
    <row r="53" spans="1:22" ht="13.9" customHeight="1" thickBot="1">
      <c r="A53" s="1043"/>
      <c r="B53" s="1087"/>
      <c r="C53" s="783" t="s">
        <v>18</v>
      </c>
      <c r="D53" s="197"/>
      <c r="E53" s="197"/>
      <c r="F53" s="197"/>
      <c r="G53" s="197"/>
      <c r="H53" s="197"/>
      <c r="I53" s="197"/>
      <c r="J53" s="197"/>
      <c r="K53" s="197"/>
      <c r="L53" s="197"/>
      <c r="M53" s="204"/>
      <c r="N53" s="790"/>
      <c r="Q53" s="182"/>
      <c r="R53" s="182"/>
      <c r="S53" s="182"/>
      <c r="T53" s="182"/>
      <c r="U53" s="182"/>
      <c r="V53" s="182"/>
    </row>
    <row r="54" spans="1:22" ht="30" customHeight="1" thickBot="1">
      <c r="A54" s="1080"/>
      <c r="B54" s="1088"/>
      <c r="C54" s="786" t="s">
        <v>32</v>
      </c>
      <c r="D54" s="183"/>
      <c r="E54" s="183"/>
      <c r="F54" s="183"/>
      <c r="G54" s="183"/>
      <c r="H54" s="183"/>
      <c r="I54" s="183"/>
      <c r="J54" s="183"/>
      <c r="K54" s="183"/>
      <c r="L54" s="183"/>
      <c r="M54" s="183"/>
      <c r="N54" s="792"/>
      <c r="Q54" s="182"/>
      <c r="R54" s="182"/>
      <c r="S54" s="182"/>
      <c r="T54" s="182"/>
      <c r="U54" s="182"/>
      <c r="V54" s="182"/>
    </row>
    <row r="55" spans="1:22" ht="13.9" customHeight="1" thickBot="1">
      <c r="A55" s="714"/>
      <c r="B55" s="714"/>
      <c r="C55" s="205"/>
      <c r="D55" s="206"/>
      <c r="E55" s="206"/>
      <c r="F55" s="206"/>
      <c r="G55" s="206"/>
      <c r="H55" s="206"/>
      <c r="I55" s="206"/>
      <c r="J55" s="206"/>
      <c r="K55" s="206"/>
      <c r="L55" s="206"/>
      <c r="M55" s="206"/>
      <c r="N55" s="206"/>
    </row>
    <row r="56" spans="1:22" ht="13.9" customHeight="1" thickBot="1">
      <c r="A56" s="727" t="s">
        <v>33</v>
      </c>
      <c r="B56" s="715" t="s">
        <v>34</v>
      </c>
      <c r="C56" s="207"/>
      <c r="D56" s="201" t="str">
        <f>D$2</f>
        <v>Baseline (Jun-2021)</v>
      </c>
      <c r="E56" s="208">
        <f t="shared" ref="E56:K56" si="9">E$2</f>
        <v>44742</v>
      </c>
      <c r="F56" s="208">
        <f t="shared" si="9"/>
        <v>45107</v>
      </c>
      <c r="G56" s="208">
        <f t="shared" si="9"/>
        <v>45381</v>
      </c>
      <c r="H56" s="208">
        <f t="shared" si="9"/>
        <v>45746</v>
      </c>
      <c r="I56" s="208">
        <f t="shared" si="9"/>
        <v>46111</v>
      </c>
      <c r="J56" s="209">
        <f t="shared" si="9"/>
        <v>46476</v>
      </c>
      <c r="K56" s="210">
        <f t="shared" si="9"/>
        <v>46752</v>
      </c>
      <c r="L56" s="211"/>
      <c r="M56" s="211"/>
      <c r="N56" s="212" t="s">
        <v>35</v>
      </c>
      <c r="P56" s="213"/>
      <c r="Q56" s="190"/>
      <c r="R56" s="190"/>
      <c r="S56" s="190"/>
      <c r="T56" s="190"/>
      <c r="U56" s="190"/>
      <c r="V56" s="190"/>
    </row>
    <row r="57" spans="1:22" ht="23.45" customHeight="1" thickBot="1">
      <c r="A57" s="1089" t="s">
        <v>36</v>
      </c>
      <c r="B57" s="1061" t="s">
        <v>37</v>
      </c>
      <c r="C57" s="888" t="s">
        <v>38</v>
      </c>
      <c r="D57" s="889" t="str">
        <f>IF(ISERROR((D59+D61+D63)/(D58+D60+D62)),"-",TEXT(D58+D60+D62,"$0,0") &amp; " (" &amp; TEXT((D59+D61+D63)/(D58+D60+D62),"0%") &amp; ")")</f>
        <v>-</v>
      </c>
      <c r="E57" s="890" t="str">
        <f t="shared" ref="E57:F57" si="10">IF(ISERROR((E59+E61+E63)/(E58+E60+E62)),"-",TEXT(E58+E60+E62,"$0,0") &amp; " (" &amp; TEXT((E59+E61+E63)/(E58+E60+E62),"0%") &amp; ")")</f>
        <v>$3,493,750 (30%)</v>
      </c>
      <c r="F57" s="890" t="str">
        <f t="shared" si="10"/>
        <v>$10,143,750 (30%)</v>
      </c>
      <c r="G57" s="890" t="str">
        <f>IF(ISERROR((G59+G61+G63)/(G58+G60+G62)),"-",TEXT(G58+G60+G62,"$0,0") &amp; " (" &amp; TEXT((G59+G61+G63)/(G58+G60+G62),"0%") &amp; ")")</f>
        <v>$15,754,688 (50%)</v>
      </c>
      <c r="H57" s="891" t="str">
        <f>IF(ISERROR((H59+H61+H63)/(H58+H60+H62)),"-",TEXT(H58+H60+H62,"£0,0") &amp; " (" &amp; TEXT((H59+H61+H63)/(H58+H60+H62),"0%") &amp; ")")</f>
        <v>£36,314,288 (29%)</v>
      </c>
      <c r="I57" s="891" t="str">
        <f>IF(ISERROR((I59+I61+I63)/(I58+I60+I62)),"-",TEXT(I58+I60+I62,"£0,0") &amp; " (" &amp; TEXT((I59+I61+I63)/(I58+I60+I62),"0%") &amp; ")")</f>
        <v>£77,725,453 (18%)</v>
      </c>
      <c r="J57" s="891" t="str">
        <f>IF(ISERROR((J59+J61+J63)/(J58+J60+J62)),"-",TEXT(J58+J60+J62,"£0,0") &amp; " (" &amp; TEXT((J59+J61+J63)/(J58+J60+J62),"0%") &amp; ")")</f>
        <v>£111,484,493 (1%)</v>
      </c>
      <c r="K57" s="892" t="str">
        <f>IF(ISERROR((K59+K61+K63)/(K58+K60+K62)),"-",TEXT(K58+K60+K62,"£0,0") &amp; " (" &amp; TEXT((K59+K61+K63)/(K58+K60+K62),"0%") &amp; ")")</f>
        <v>£173,253,659 (1%)</v>
      </c>
      <c r="L57" s="214"/>
      <c r="M57" s="215"/>
      <c r="N57" s="1091" t="s">
        <v>39</v>
      </c>
      <c r="Q57" s="144"/>
      <c r="R57" s="144"/>
      <c r="S57" s="144"/>
      <c r="T57" s="145"/>
      <c r="U57" s="145"/>
      <c r="V57" s="145"/>
    </row>
    <row r="58" spans="1:22" ht="20.100000000000001" customHeight="1" outlineLevel="1" thickBot="1">
      <c r="A58" s="1090"/>
      <c r="B58" s="1062"/>
      <c r="C58" s="216" t="s">
        <v>10</v>
      </c>
      <c r="D58" s="217">
        <v>0</v>
      </c>
      <c r="E58" s="218">
        <v>3493750</v>
      </c>
      <c r="F58" s="218">
        <v>10143750</v>
      </c>
      <c r="G58" s="218">
        <v>15754687.5</v>
      </c>
      <c r="H58" s="796">
        <f>('Aceli Africa'!N22)*$Q$62</f>
        <v>20858148.75</v>
      </c>
      <c r="I58" s="799">
        <f>('Aceli Africa'!P22)*$Q$62</f>
        <v>26825508.75</v>
      </c>
      <c r="J58" s="799"/>
      <c r="K58" s="799">
        <f>('Aceli Africa'!R22)*$Q$62</f>
        <v>0</v>
      </c>
      <c r="L58" s="219"/>
      <c r="M58" s="1003" t="s">
        <v>40</v>
      </c>
      <c r="N58" s="1092"/>
      <c r="Q58" s="144"/>
      <c r="R58" s="144"/>
      <c r="S58" s="144"/>
      <c r="T58" s="145"/>
      <c r="U58" s="145"/>
      <c r="V58" s="145"/>
    </row>
    <row r="59" spans="1:22" ht="36.75" customHeight="1" outlineLevel="1">
      <c r="A59" s="1090"/>
      <c r="B59" s="1062"/>
      <c r="C59" s="220" t="s">
        <v>41</v>
      </c>
      <c r="D59" s="221">
        <v>0</v>
      </c>
      <c r="E59" s="222">
        <v>1048125</v>
      </c>
      <c r="F59" s="222">
        <v>3043125</v>
      </c>
      <c r="G59" s="222">
        <v>7877343.75</v>
      </c>
      <c r="H59" s="800">
        <f>('Aceli Africa'!N23)*$Q$62</f>
        <v>10429074.375</v>
      </c>
      <c r="I59" s="801">
        <f>('Aceli Africa'!P23)*$Q$62</f>
        <v>13412754.375</v>
      </c>
      <c r="J59" s="801"/>
      <c r="K59" s="801">
        <f>('Aceli Africa'!R23)*$Q$62</f>
        <v>0</v>
      </c>
      <c r="L59" s="223"/>
      <c r="M59" s="1004"/>
      <c r="N59" s="1092"/>
      <c r="Q59" s="144"/>
      <c r="R59" s="144"/>
      <c r="S59" s="144"/>
      <c r="T59" s="145"/>
      <c r="U59" s="145"/>
      <c r="V59" s="145"/>
    </row>
    <row r="60" spans="1:22" ht="20.100000000000001" customHeight="1" outlineLevel="1">
      <c r="A60" s="1090"/>
      <c r="B60" s="1062"/>
      <c r="C60" s="224" t="s">
        <v>13</v>
      </c>
      <c r="D60" s="225"/>
      <c r="E60" s="225"/>
      <c r="F60" s="225"/>
      <c r="G60" s="225"/>
      <c r="H60" s="797">
        <f>('Manufacturing Africa'!F21)*1000000000</f>
        <v>14634146.341463413</v>
      </c>
      <c r="I60" s="797">
        <f>('Manufacturing Africa'!G21)*1000000000</f>
        <v>48780487.804878049</v>
      </c>
      <c r="J60" s="797">
        <f>('Manufacturing Africa'!H21)*1000000000</f>
        <v>107317073.17073171</v>
      </c>
      <c r="K60" s="797">
        <f>('Manufacturing Africa'!I21)*1000000000</f>
        <v>165853658.53658536</v>
      </c>
      <c r="L60" s="226"/>
      <c r="M60" s="1004"/>
      <c r="N60" s="1092"/>
      <c r="Q60" s="144"/>
      <c r="R60" s="144"/>
      <c r="S60" s="144"/>
      <c r="T60" s="145"/>
      <c r="U60" s="145"/>
      <c r="V60" s="145"/>
    </row>
    <row r="61" spans="1:22" ht="23.45" customHeight="1" outlineLevel="1">
      <c r="A61" s="1090"/>
      <c r="B61" s="1062"/>
      <c r="C61" s="227" t="s">
        <v>41</v>
      </c>
      <c r="D61" s="228"/>
      <c r="E61" s="228"/>
      <c r="F61" s="228"/>
      <c r="G61" s="228"/>
      <c r="H61" s="802">
        <v>0</v>
      </c>
      <c r="I61" s="802">
        <v>0</v>
      </c>
      <c r="J61" s="988">
        <v>1</v>
      </c>
      <c r="K61" s="804">
        <v>0</v>
      </c>
      <c r="L61" s="229"/>
      <c r="M61" s="1004"/>
      <c r="N61" s="1092"/>
      <c r="Q61" s="144"/>
      <c r="R61" s="144"/>
      <c r="S61" s="144"/>
      <c r="T61" s="145"/>
      <c r="U61" s="145"/>
      <c r="V61" s="145"/>
    </row>
    <row r="62" spans="1:22" ht="20.100000000000001" customHeight="1" outlineLevel="1">
      <c r="A62" s="1090"/>
      <c r="B62" s="1062"/>
      <c r="C62" s="224" t="s">
        <v>25</v>
      </c>
      <c r="D62" s="225"/>
      <c r="E62" s="225"/>
      <c r="F62" s="225"/>
      <c r="G62" s="225"/>
      <c r="H62" s="797">
        <f>('Green Growth Facility'!G15)*$Q$62</f>
        <v>821992.71706033684</v>
      </c>
      <c r="I62" s="805">
        <f>('Green Growth Facility'!H15)*$Q$62</f>
        <v>2119456.0490603978</v>
      </c>
      <c r="J62" s="805">
        <f>('Green Growth Facility'!I15)*$Q$62</f>
        <v>4167419.5686217686</v>
      </c>
      <c r="K62" s="805">
        <f>('Green Growth Facility'!J15)*$Q$62</f>
        <v>7400000</v>
      </c>
      <c r="L62" s="226"/>
      <c r="M62" s="1004"/>
      <c r="N62" s="1092"/>
      <c r="Q62" s="798">
        <f>0.74</f>
        <v>0.74</v>
      </c>
      <c r="R62" s="144"/>
      <c r="S62" s="144"/>
      <c r="T62" s="145"/>
      <c r="U62" s="145"/>
      <c r="V62" s="145"/>
    </row>
    <row r="63" spans="1:22" ht="23.45" customHeight="1" outlineLevel="1" thickBot="1">
      <c r="A63" s="1090"/>
      <c r="B63" s="1062"/>
      <c r="C63" s="230" t="s">
        <v>41</v>
      </c>
      <c r="D63" s="231"/>
      <c r="E63" s="231"/>
      <c r="F63" s="231"/>
      <c r="G63" s="231"/>
      <c r="H63" s="811">
        <f>('Green Growth Facility'!G16)*$Q$62</f>
        <v>246597.81511810105</v>
      </c>
      <c r="I63" s="811">
        <f>('Green Growth Facility'!H16)*$Q$62</f>
        <v>635836.81471811945</v>
      </c>
      <c r="J63" s="811">
        <f>('Green Growth Facility'!I16)*$Q$62</f>
        <v>1250225.8705865305</v>
      </c>
      <c r="K63" s="811">
        <f>('Green Growth Facility'!J16)*$Q$62</f>
        <v>2220000</v>
      </c>
      <c r="L63" s="229"/>
      <c r="M63" s="1004"/>
      <c r="N63" s="1092"/>
      <c r="Q63" s="144"/>
      <c r="R63" s="144"/>
      <c r="S63" s="144"/>
      <c r="T63" s="145"/>
      <c r="U63" s="145"/>
      <c r="V63" s="145"/>
    </row>
    <row r="64" spans="1:22" ht="24.6" customHeight="1" thickBot="1">
      <c r="A64" s="1090"/>
      <c r="B64" s="1062"/>
      <c r="C64" s="812" t="s">
        <v>42</v>
      </c>
      <c r="D64" s="813" t="str">
        <f t="shared" ref="D64:K64" si="11">IF(ISERROR((D66+D70)/(D65+D69)),"-",TEXT(D65+D69,"£0,0") &amp; " (" &amp; TEXT((D66+D70)/(D65+D69),"0%") &amp; ")")</f>
        <v>-</v>
      </c>
      <c r="E64" s="814" t="str">
        <f t="shared" si="11"/>
        <v>£5,092,429 (96%)</v>
      </c>
      <c r="F64" s="814" t="str">
        <f t="shared" si="11"/>
        <v>-</v>
      </c>
      <c r="G64" s="814" t="str">
        <f t="shared" si="11"/>
        <v>£13,427,074 (68%)</v>
      </c>
      <c r="H64" s="814" t="str">
        <f t="shared" si="11"/>
        <v>£21,663,347 (60%)</v>
      </c>
      <c r="I64" s="814" t="str">
        <f t="shared" si="11"/>
        <v>-</v>
      </c>
      <c r="J64" s="815" t="str">
        <f t="shared" si="11"/>
        <v>-</v>
      </c>
      <c r="K64" s="815" t="str">
        <f t="shared" si="11"/>
        <v>-</v>
      </c>
      <c r="L64" s="232"/>
      <c r="M64" s="1004"/>
      <c r="N64" s="1092"/>
      <c r="Q64" s="144"/>
      <c r="R64" s="144"/>
      <c r="S64" s="144"/>
      <c r="T64" s="145"/>
      <c r="U64" s="145"/>
      <c r="V64" s="145"/>
    </row>
    <row r="65" spans="1:22" ht="13.9" customHeight="1" outlineLevel="1" thickBot="1">
      <c r="A65" s="1090"/>
      <c r="B65" s="1062"/>
      <c r="C65" s="174" t="s">
        <v>10</v>
      </c>
      <c r="D65" s="233"/>
      <c r="E65" s="234">
        <v>5092429</v>
      </c>
      <c r="F65" s="234">
        <v>0</v>
      </c>
      <c r="G65" s="234">
        <v>13427073.645222001</v>
      </c>
      <c r="H65" s="806">
        <f>('Aceli Africa'!N24)*$Q$62</f>
        <v>20834990.501800001</v>
      </c>
      <c r="I65" s="807">
        <f>('Aceli Africa'!P24)*$Q$62</f>
        <v>0</v>
      </c>
      <c r="J65" s="807">
        <f>('Aceli Africa'!Q24)*$Q$62</f>
        <v>0</v>
      </c>
      <c r="K65" s="807">
        <f>('Aceli Africa'!R24)*$Q$62</f>
        <v>0</v>
      </c>
      <c r="L65" s="235"/>
      <c r="M65" s="1004"/>
      <c r="N65" s="1092"/>
      <c r="Q65" s="144"/>
      <c r="R65" s="144"/>
      <c r="S65" s="144"/>
      <c r="T65" s="145"/>
      <c r="U65" s="145"/>
      <c r="V65" s="145"/>
    </row>
    <row r="66" spans="1:22" ht="21.95" customHeight="1" outlineLevel="1">
      <c r="A66" s="1090"/>
      <c r="B66" s="1062"/>
      <c r="C66" s="176" t="s">
        <v>41</v>
      </c>
      <c r="D66" s="236"/>
      <c r="E66" s="237">
        <v>4904429</v>
      </c>
      <c r="F66" s="237">
        <v>0</v>
      </c>
      <c r="G66" s="237">
        <v>9191789.2200000007</v>
      </c>
      <c r="H66" s="808">
        <f>('Aceli Africa'!N25)*$Q$62</f>
        <v>12783120.115079997</v>
      </c>
      <c r="I66" s="808">
        <f>('Aceli Africa'!P25)*$Q$62</f>
        <v>0</v>
      </c>
      <c r="J66" s="808">
        <f>('Aceli Africa'!Q25)*$Q$62</f>
        <v>0</v>
      </c>
      <c r="K66" s="808">
        <f>('Aceli Africa'!R25)*$Q$62</f>
        <v>0</v>
      </c>
      <c r="L66" s="238"/>
      <c r="M66" s="1004"/>
      <c r="N66" s="1092"/>
      <c r="O66" s="987"/>
      <c r="Q66" s="144"/>
      <c r="R66" s="144"/>
      <c r="S66" s="144"/>
      <c r="T66" s="145"/>
      <c r="U66" s="145"/>
      <c r="V66" s="145"/>
    </row>
    <row r="67" spans="1:22" ht="13.9" customHeight="1" outlineLevel="1">
      <c r="A67" s="1090"/>
      <c r="B67" s="1062"/>
      <c r="C67" s="178" t="s">
        <v>13</v>
      </c>
      <c r="D67" s="239"/>
      <c r="E67" s="239"/>
      <c r="F67" s="239"/>
      <c r="G67" s="239"/>
      <c r="H67" s="809">
        <f>('Manufacturing Africa'!F22)*1000000000</f>
        <v>0</v>
      </c>
      <c r="I67" s="809">
        <f>('Manufacturing Africa'!G22)*1000000000</f>
        <v>0</v>
      </c>
      <c r="J67" s="809">
        <f>('Manufacturing Africa'!H22)*1000000000</f>
        <v>0</v>
      </c>
      <c r="K67" s="809">
        <f>('Manufacturing Africa'!I22)*1000000000</f>
        <v>0</v>
      </c>
      <c r="L67" s="235"/>
      <c r="M67" s="1004"/>
      <c r="N67" s="1092"/>
      <c r="Q67" s="144"/>
      <c r="R67" s="144"/>
      <c r="S67" s="144"/>
      <c r="T67" s="145"/>
      <c r="U67" s="145"/>
      <c r="V67" s="145"/>
    </row>
    <row r="68" spans="1:22" ht="23.45" customHeight="1" outlineLevel="1">
      <c r="A68" s="1090"/>
      <c r="B68" s="1062"/>
      <c r="C68" s="241" t="s">
        <v>41</v>
      </c>
      <c r="D68" s="236"/>
      <c r="E68" s="236"/>
      <c r="F68" s="236"/>
      <c r="G68" s="236"/>
      <c r="H68" s="802">
        <v>0</v>
      </c>
      <c r="I68" s="802">
        <v>0</v>
      </c>
      <c r="J68" s="803">
        <v>0</v>
      </c>
      <c r="K68" s="804">
        <v>0</v>
      </c>
      <c r="L68" s="238"/>
      <c r="M68" s="1004"/>
      <c r="N68" s="1092"/>
      <c r="Q68" s="144"/>
      <c r="R68" s="144"/>
      <c r="S68" s="144"/>
      <c r="T68" s="145"/>
      <c r="U68" s="145"/>
      <c r="V68" s="145"/>
    </row>
    <row r="69" spans="1:22" outlineLevel="1">
      <c r="A69" s="1090"/>
      <c r="B69" s="1062"/>
      <c r="C69" s="178" t="s">
        <v>25</v>
      </c>
      <c r="D69" s="243"/>
      <c r="E69" s="243"/>
      <c r="F69" s="243"/>
      <c r="G69" s="243"/>
      <c r="H69" s="797">
        <f>'Green Growth Facility'!G21*$Q$62</f>
        <v>828356</v>
      </c>
      <c r="I69" s="805">
        <f>'Green Growth Facility'!H21*$Q$62</f>
        <v>0</v>
      </c>
      <c r="J69" s="805">
        <f>'Green Growth Facility'!I21*$Q$62</f>
        <v>0</v>
      </c>
      <c r="K69" s="805">
        <f>'Green Growth Facility'!J21*$Q$62</f>
        <v>0</v>
      </c>
      <c r="L69" s="235"/>
      <c r="M69" s="1004"/>
      <c r="N69" s="1092"/>
      <c r="Q69" s="144"/>
      <c r="R69" s="144"/>
      <c r="S69" s="144"/>
      <c r="T69" s="145"/>
      <c r="U69" s="145"/>
      <c r="V69" s="145"/>
    </row>
    <row r="70" spans="1:22" ht="23.45" customHeight="1" outlineLevel="1" thickBot="1">
      <c r="A70" s="1090"/>
      <c r="B70" s="1062"/>
      <c r="C70" s="179" t="s">
        <v>41</v>
      </c>
      <c r="D70" s="244"/>
      <c r="E70" s="244"/>
      <c r="F70" s="244"/>
      <c r="G70" s="244"/>
      <c r="H70" s="810">
        <f>'Green Growth Facility'!G22*$Q$62</f>
        <v>309320</v>
      </c>
      <c r="I70" s="811">
        <f>'Green Growth Facility'!H22*$Q$62</f>
        <v>0</v>
      </c>
      <c r="J70" s="811">
        <f>'Green Growth Facility'!I22*$Q$62</f>
        <v>0</v>
      </c>
      <c r="K70" s="811">
        <f>'Green Growth Facility'!J22*$Q$62</f>
        <v>0</v>
      </c>
      <c r="L70" s="238"/>
      <c r="M70" s="1004"/>
      <c r="N70" s="1092"/>
      <c r="Q70" s="144"/>
      <c r="R70" s="144"/>
      <c r="S70" s="144"/>
      <c r="T70" s="145"/>
      <c r="U70" s="145"/>
      <c r="V70" s="145"/>
    </row>
    <row r="71" spans="1:22" ht="13.9" customHeight="1" thickBot="1">
      <c r="A71" s="1090"/>
      <c r="B71" s="1063"/>
      <c r="C71" s="1000" t="s">
        <v>18</v>
      </c>
      <c r="D71" s="1001"/>
      <c r="E71" s="1001"/>
      <c r="F71" s="1001"/>
      <c r="G71" s="1001"/>
      <c r="H71" s="1001"/>
      <c r="I71" s="1001"/>
      <c r="J71" s="1001"/>
      <c r="K71" s="1001"/>
      <c r="L71" s="197"/>
      <c r="M71" s="1005"/>
      <c r="N71" s="1092"/>
      <c r="Q71" s="144"/>
      <c r="R71" s="144"/>
      <c r="S71" s="144"/>
      <c r="T71" s="145"/>
      <c r="U71" s="145"/>
      <c r="V71" s="145"/>
    </row>
    <row r="72" spans="1:22" ht="34.5" customHeight="1" thickBot="1">
      <c r="A72" s="1090"/>
      <c r="B72" s="1064"/>
      <c r="C72" s="1012" t="s">
        <v>19</v>
      </c>
      <c r="D72" s="1013"/>
      <c r="E72" s="1013"/>
      <c r="F72" s="1013"/>
      <c r="G72" s="1013"/>
      <c r="H72" s="1013"/>
      <c r="I72" s="1013"/>
      <c r="J72" s="1013"/>
      <c r="K72" s="1013"/>
      <c r="L72" s="246"/>
      <c r="M72" s="246"/>
      <c r="N72" s="1092"/>
      <c r="Q72" s="144"/>
      <c r="R72" s="144"/>
      <c r="S72" s="144"/>
      <c r="T72" s="145"/>
      <c r="U72" s="145"/>
      <c r="V72" s="145"/>
    </row>
    <row r="73" spans="1:22" ht="13.9" customHeight="1" thickBot="1">
      <c r="A73" s="1090"/>
      <c r="B73" s="713" t="s">
        <v>43</v>
      </c>
      <c r="C73" s="247"/>
      <c r="D73" s="201" t="str">
        <f>D$2</f>
        <v>Baseline (Jun-2021)</v>
      </c>
      <c r="E73" s="208">
        <f t="shared" ref="E73:K73" si="12">E$2</f>
        <v>44742</v>
      </c>
      <c r="F73" s="208">
        <f t="shared" si="12"/>
        <v>45107</v>
      </c>
      <c r="G73" s="208">
        <f t="shared" si="12"/>
        <v>45381</v>
      </c>
      <c r="H73" s="208">
        <f t="shared" si="12"/>
        <v>45746</v>
      </c>
      <c r="I73" s="208">
        <f t="shared" si="12"/>
        <v>46111</v>
      </c>
      <c r="J73" s="210">
        <f t="shared" si="12"/>
        <v>46476</v>
      </c>
      <c r="K73" s="209">
        <f t="shared" si="12"/>
        <v>46752</v>
      </c>
      <c r="L73" s="189"/>
      <c r="M73" s="189"/>
      <c r="N73" s="1092"/>
      <c r="Q73" s="182"/>
      <c r="R73" s="182"/>
      <c r="S73" s="182"/>
      <c r="T73" s="182"/>
      <c r="U73" s="182"/>
      <c r="V73" s="182"/>
    </row>
    <row r="74" spans="1:22" ht="13.9" customHeight="1" thickBot="1">
      <c r="A74" s="1090"/>
      <c r="B74" s="716"/>
      <c r="C74" s="247"/>
      <c r="D74" s="138"/>
      <c r="E74" s="248"/>
      <c r="F74" s="248"/>
      <c r="G74" s="248"/>
      <c r="H74" s="248"/>
      <c r="I74" s="248"/>
      <c r="J74" s="141"/>
      <c r="K74" s="141"/>
      <c r="L74" s="189"/>
      <c r="M74" s="189"/>
      <c r="N74" s="1092"/>
      <c r="Q74" s="182"/>
      <c r="R74" s="182"/>
      <c r="S74" s="182"/>
      <c r="T74" s="182"/>
      <c r="U74" s="182"/>
      <c r="V74" s="182"/>
    </row>
    <row r="75" spans="1:22" ht="30.6" customHeight="1" thickBot="1">
      <c r="A75" s="1090"/>
      <c r="B75" s="1095" t="s">
        <v>44</v>
      </c>
      <c r="C75" s="888" t="s">
        <v>38</v>
      </c>
      <c r="D75" s="889" t="str">
        <f>IF(ISERROR((D77+D79+D81)/(D76+D78+D80)),"-",TEXT(D76+D78+D80,"$0,0") &amp; " (" &amp; TEXT((D77+D79+D81)/(D76+D78+D80),"0%") &amp; ")")</f>
        <v>-</v>
      </c>
      <c r="E75" s="890" t="str">
        <f t="shared" ref="E75:G75" si="13">IF(ISERROR((E77+E79+E81)/(E76+E78+E80)),"-",TEXT(E76+E78+E80,"$0,0") &amp; " (" &amp; TEXT((E77+E79+E81)/(E76+E78+E80),"0%") &amp; ")")</f>
        <v>$698,750 (30%)</v>
      </c>
      <c r="F75" s="890" t="str">
        <f t="shared" si="13"/>
        <v>$2,028,750 (30%)</v>
      </c>
      <c r="G75" s="890" t="str">
        <f t="shared" si="13"/>
        <v>$4,945,922 (65%)</v>
      </c>
      <c r="H75" s="890" t="str">
        <f>IF(ISERROR((H77+H79+H81)/(H76+H78+H80)),"-",TEXT(H76+H78+H80,"£0,0") &amp; " (" &amp; TEXT((H77+H79+H81)/(H76+H78+H80),"0%") &amp; ")")</f>
        <v>£7,542,190 (48%)</v>
      </c>
      <c r="I75" s="890" t="str">
        <f>IF(ISERROR((I77+I79+I81)/(I76+I78+I80)),"-",TEXT(I76+I78+I80,"£0,0") &amp; " (" &amp; TEXT((I77+I79+I81)/(I76+I78+I80),"0%") &amp; ")")</f>
        <v>£10,912,888 (47%)</v>
      </c>
      <c r="J75" s="890" t="str">
        <f>IF(ISERROR((J77+J79+J81)/(J76+J78+J80)),"-",TEXT(J76+J78+J80,"£0,0") &amp; " (" &amp; TEXT((J77+J79+J81)/(J76+J78+J80),"0%") &amp; ")")</f>
        <v>£12,448,861 (45%)</v>
      </c>
      <c r="K75" s="890" t="str">
        <f>IF(ISERROR((K77+K79+K81)/(K76+K78+K80)),"-",TEXT(K76+K78+K80,"£0,0") &amp; " (" &amp; TEXT((K77+K79+K81)/(K76+K78+K80),"0%") &amp; ")")</f>
        <v>£5,550,000 (30%)</v>
      </c>
      <c r="L75" s="249"/>
      <c r="M75" s="215"/>
      <c r="N75" s="1092"/>
      <c r="Q75" s="144"/>
      <c r="R75" s="144"/>
      <c r="S75" s="144"/>
      <c r="T75" s="145"/>
      <c r="U75" s="145"/>
      <c r="V75" s="145"/>
    </row>
    <row r="76" spans="1:22" ht="13.9" customHeight="1" outlineLevel="1" thickBot="1">
      <c r="A76" s="1090"/>
      <c r="B76" s="1020"/>
      <c r="C76" s="216" t="s">
        <v>10</v>
      </c>
      <c r="D76" s="217">
        <v>0</v>
      </c>
      <c r="E76" s="218">
        <v>698750</v>
      </c>
      <c r="F76" s="218">
        <v>2028750</v>
      </c>
      <c r="G76" s="218">
        <v>4945921.5625</v>
      </c>
      <c r="H76" s="796">
        <f>'Aceli Africa'!N29*$Q$62</f>
        <v>6925695.84375</v>
      </c>
      <c r="I76" s="796">
        <f>'Aceli Africa'!P29*$Q$62</f>
        <v>9323295.84375</v>
      </c>
      <c r="J76" s="796">
        <f>'Aceli Africa'!Q29*$Q$62</f>
        <v>9323295.84375</v>
      </c>
      <c r="K76" s="796">
        <f>'Aceli Africa'!R29*$Q$62</f>
        <v>0</v>
      </c>
      <c r="L76" s="250"/>
      <c r="M76" s="1003" t="s">
        <v>45</v>
      </c>
      <c r="N76" s="1092"/>
      <c r="Q76" s="144"/>
      <c r="R76" s="144"/>
      <c r="S76" s="144"/>
      <c r="T76" s="145"/>
      <c r="U76" s="145"/>
      <c r="V76" s="145"/>
    </row>
    <row r="77" spans="1:22" ht="21.95" customHeight="1" outlineLevel="1">
      <c r="A77" s="1090"/>
      <c r="B77" s="1020"/>
      <c r="C77" s="220" t="s">
        <v>41</v>
      </c>
      <c r="D77" s="221">
        <v>0</v>
      </c>
      <c r="E77" s="222">
        <v>209625</v>
      </c>
      <c r="F77" s="222">
        <v>608625</v>
      </c>
      <c r="G77" s="222">
        <v>3214849.015625</v>
      </c>
      <c r="H77" s="800">
        <f>'Aceli Africa'!N30*$Q$62</f>
        <v>3462847.921875</v>
      </c>
      <c r="I77" s="801">
        <f>'Aceli Africa'!P30*$Q$62</f>
        <v>4661647.921875</v>
      </c>
      <c r="J77" s="801">
        <f>'Aceli Africa'!Q30*$Q$62</f>
        <v>4661647.921875</v>
      </c>
      <c r="K77" s="801">
        <f>'Aceli Africa'!R30*$Q$62</f>
        <v>0</v>
      </c>
      <c r="L77" s="223"/>
      <c r="M77" s="1004"/>
      <c r="N77" s="1092"/>
      <c r="Q77" s="144"/>
      <c r="R77" s="144"/>
      <c r="S77" s="144"/>
      <c r="T77" s="145"/>
      <c r="U77" s="145"/>
      <c r="V77" s="145"/>
    </row>
    <row r="78" spans="1:22" ht="13.9" customHeight="1" outlineLevel="1">
      <c r="A78" s="1090"/>
      <c r="B78" s="1020"/>
      <c r="C78" s="224" t="s">
        <v>13</v>
      </c>
      <c r="D78" s="225"/>
      <c r="E78" s="225"/>
      <c r="F78" s="225"/>
      <c r="G78" s="225"/>
      <c r="H78" s="225"/>
      <c r="I78" s="225"/>
      <c r="J78" s="225"/>
      <c r="K78" s="225"/>
      <c r="L78" s="226"/>
      <c r="M78" s="1004"/>
      <c r="N78" s="1092"/>
      <c r="Q78" s="144"/>
      <c r="R78" s="144"/>
      <c r="S78" s="144"/>
      <c r="T78" s="145"/>
      <c r="U78" s="145"/>
      <c r="V78" s="145"/>
    </row>
    <row r="79" spans="1:22" ht="21" customHeight="1" outlineLevel="1">
      <c r="A79" s="1090"/>
      <c r="B79" s="1020"/>
      <c r="C79" s="227" t="s">
        <v>41</v>
      </c>
      <c r="D79" s="228"/>
      <c r="E79" s="228"/>
      <c r="F79" s="228"/>
      <c r="G79" s="228"/>
      <c r="H79" s="228"/>
      <c r="I79" s="228"/>
      <c r="J79" s="228"/>
      <c r="K79" s="228"/>
      <c r="L79" s="229"/>
      <c r="M79" s="1004"/>
      <c r="N79" s="1092"/>
      <c r="Q79" s="144"/>
      <c r="R79" s="144"/>
      <c r="S79" s="144"/>
      <c r="T79" s="145"/>
      <c r="U79" s="145"/>
      <c r="V79" s="145"/>
    </row>
    <row r="80" spans="1:22" ht="13.9" customHeight="1" outlineLevel="1">
      <c r="A80" s="1090"/>
      <c r="B80" s="1020"/>
      <c r="C80" s="156" t="s">
        <v>25</v>
      </c>
      <c r="D80" s="228"/>
      <c r="E80" s="228"/>
      <c r="F80" s="228"/>
      <c r="G80" s="228"/>
      <c r="H80" s="809">
        <f>'Green Growth Facility'!G30*$Q$62</f>
        <v>616494.53779525263</v>
      </c>
      <c r="I80" s="809">
        <f>'Green Growth Facility'!H30*$Q$62</f>
        <v>1589592.0367952983</v>
      </c>
      <c r="J80" s="809">
        <f>'Green Growth Facility'!I30*$Q$62</f>
        <v>3125564.6764663267</v>
      </c>
      <c r="K80" s="809">
        <f>'Green Growth Facility'!J30*$Q$62</f>
        <v>5550000</v>
      </c>
      <c r="L80" s="235"/>
      <c r="M80" s="1004"/>
      <c r="N80" s="1092"/>
      <c r="Q80" s="144"/>
      <c r="R80" s="144"/>
      <c r="S80" s="144"/>
      <c r="T80" s="145"/>
      <c r="U80" s="145"/>
      <c r="V80" s="145"/>
    </row>
    <row r="81" spans="1:22" ht="22.5" customHeight="1" outlineLevel="1" thickBot="1">
      <c r="A81" s="1090"/>
      <c r="B81" s="1020"/>
      <c r="C81" s="163" t="s">
        <v>41</v>
      </c>
      <c r="D81" s="228"/>
      <c r="E81" s="228"/>
      <c r="F81" s="228"/>
      <c r="G81" s="228"/>
      <c r="H81" s="973">
        <f>'Green Growth Facility'!G31*$Q$62</f>
        <v>184948.36133857581</v>
      </c>
      <c r="I81" s="974">
        <f>'Green Growth Facility'!H31*$Q$62</f>
        <v>476877.61103858956</v>
      </c>
      <c r="J81" s="974">
        <f>'Green Growth Facility'!I31*$Q$62</f>
        <v>937669.40293989785</v>
      </c>
      <c r="K81" s="974">
        <f>'Green Growth Facility'!J31*$Q$62</f>
        <v>1665000</v>
      </c>
      <c r="L81" s="238"/>
      <c r="M81" s="1004"/>
      <c r="N81" s="1092"/>
      <c r="O81" s="136">
        <f>9294097/7542190</f>
        <v>1.2322809422727352</v>
      </c>
      <c r="Q81" s="144"/>
      <c r="R81" s="144"/>
      <c r="S81" s="144"/>
      <c r="T81" s="145"/>
      <c r="U81" s="145"/>
      <c r="V81" s="145"/>
    </row>
    <row r="82" spans="1:22" ht="23.45" customHeight="1" thickBot="1">
      <c r="A82" s="1090"/>
      <c r="B82" s="1020"/>
      <c r="C82" s="812" t="s">
        <v>42</v>
      </c>
      <c r="D82" s="829" t="str">
        <f>IF(ISERROR((D84+D86+D88)/(D83+D85+D87)),"-",TEXT(D83+D85+D87,"$0,0") &amp; " (" &amp; TEXT((D84+D86+D88)/(D83+D85+D87),"0%") &amp; ")")</f>
        <v>-</v>
      </c>
      <c r="E82" s="830" t="str">
        <f t="shared" ref="E82:G82" si="14">IF(ISERROR((E84+E86+E88)/(E83+E85+E87)),"-",TEXT(E83+E85+E87,"$0,0") &amp; " (" &amp; TEXT((E84+E86+E88)/(E83+E85+E87),"0%") &amp; ")")</f>
        <v>$2,133,212 (97%)</v>
      </c>
      <c r="F82" s="830" t="str">
        <f t="shared" si="14"/>
        <v>-</v>
      </c>
      <c r="G82" s="830" t="str">
        <f t="shared" si="14"/>
        <v>$6,435,201 (66%)</v>
      </c>
      <c r="H82" s="830" t="str">
        <f>IF(ISERROR((H84+H86+H88)/(H83+H85+H87)),"-",TEXT(H83+H85+H87,"£0,0") &amp; " (" &amp; TEXT((H84+H86+H88)/(H83+H85+H87),"0%") &amp; ")")</f>
        <v>£9,294,097 (62%)</v>
      </c>
      <c r="I82" s="830" t="str">
        <f>IF(ISERROR((I84+I86+I88)/(I83+I85+I87)),"-",TEXT(I83+I85+I87,"£0,0") &amp; " (" &amp; TEXT((I84+I86+I88)/(I83+I85+I87),"0%") &amp; ")")</f>
        <v>-</v>
      </c>
      <c r="J82" s="830" t="str">
        <f>IF(ISERROR((J84+J86+J88)/(J83+J85+J87)),"-",TEXT(J83+J85+J87,"£0,0") &amp; " (" &amp; TEXT((J84+J86+J88)/(J83+J85+J87),"0%") &amp; ")")</f>
        <v>-</v>
      </c>
      <c r="K82" s="830" t="str">
        <f>IF(ISERROR((K84+K86+K88)/(K83+K85+K87)),"-",TEXT(K83+K85+K87,"£0,0") &amp; " (" &amp; TEXT((K84+K86+K88)/(K83+K85+K87),"0%") &amp; ")")</f>
        <v>-</v>
      </c>
      <c r="L82" s="249"/>
      <c r="M82" s="1004"/>
      <c r="N82" s="1092"/>
      <c r="O82" s="136">
        <f>H84/H83</f>
        <v>0.62964844054769264</v>
      </c>
      <c r="Q82" s="144"/>
      <c r="R82" s="144"/>
      <c r="S82" s="144"/>
      <c r="T82" s="145"/>
      <c r="U82" s="145"/>
      <c r="V82" s="145"/>
    </row>
    <row r="83" spans="1:22" ht="13.9" customHeight="1" outlineLevel="1" thickBot="1">
      <c r="A83" s="1090"/>
      <c r="B83" s="1020"/>
      <c r="C83" s="174" t="s">
        <v>10</v>
      </c>
      <c r="D83" s="233"/>
      <c r="E83" s="234">
        <v>2133212</v>
      </c>
      <c r="F83" s="234">
        <v>0</v>
      </c>
      <c r="G83" s="234">
        <v>6435200.8499999996</v>
      </c>
      <c r="H83" s="806">
        <f>'Aceli Africa'!N31*$Q$62</f>
        <v>8659177.2282599993</v>
      </c>
      <c r="I83" s="806">
        <f>'Aceli Africa'!P31*$Q$62</f>
        <v>0</v>
      </c>
      <c r="J83" s="806">
        <f>'Aceli Africa'!Q31*$Q$62</f>
        <v>0</v>
      </c>
      <c r="K83" s="806">
        <f>'Aceli Africa'!R31*$Q$62</f>
        <v>0</v>
      </c>
      <c r="L83" s="235"/>
      <c r="M83" s="1004"/>
      <c r="N83" s="1092"/>
      <c r="Q83" s="144"/>
      <c r="R83" s="144"/>
      <c r="S83" s="144"/>
      <c r="T83" s="145"/>
      <c r="U83" s="145"/>
      <c r="V83" s="145"/>
    </row>
    <row r="84" spans="1:22" ht="21.95" customHeight="1" outlineLevel="1">
      <c r="A84" s="1090"/>
      <c r="B84" s="1020"/>
      <c r="C84" s="176" t="s">
        <v>41</v>
      </c>
      <c r="D84" s="236"/>
      <c r="E84" s="237">
        <v>2067212</v>
      </c>
      <c r="F84" s="237">
        <v>0</v>
      </c>
      <c r="G84" s="237">
        <v>4241398.43</v>
      </c>
      <c r="H84" s="975">
        <f>'Aceli Africa'!N32*$Q$62</f>
        <v>5452237.4381999997</v>
      </c>
      <c r="I84" s="808">
        <f>'Aceli Africa'!P32*$Q$62</f>
        <v>0</v>
      </c>
      <c r="J84" s="808">
        <f>'Aceli Africa'!Q32*$Q$62</f>
        <v>0</v>
      </c>
      <c r="K84" s="808">
        <f>'Aceli Africa'!R32*$Q$62</f>
        <v>0</v>
      </c>
      <c r="L84" s="238"/>
      <c r="M84" s="1004"/>
      <c r="N84" s="1092"/>
      <c r="Q84" s="144"/>
      <c r="R84" s="144"/>
      <c r="S84" s="144"/>
      <c r="T84" s="145"/>
      <c r="U84" s="145"/>
      <c r="V84" s="145"/>
    </row>
    <row r="85" spans="1:22" ht="13.9" customHeight="1" outlineLevel="1">
      <c r="A85" s="1090"/>
      <c r="B85" s="1020"/>
      <c r="C85" s="178" t="s">
        <v>13</v>
      </c>
      <c r="D85" s="239"/>
      <c r="E85" s="239"/>
      <c r="F85" s="239"/>
      <c r="G85" s="239"/>
      <c r="H85" s="976"/>
      <c r="I85" s="976"/>
      <c r="J85" s="976"/>
      <c r="K85" s="976"/>
      <c r="L85" s="235"/>
      <c r="M85" s="1004"/>
      <c r="N85" s="1092"/>
      <c r="Q85" s="144">
        <f>9.3/0.74</f>
        <v>12.567567567567568</v>
      </c>
      <c r="R85" s="144"/>
      <c r="S85" s="144"/>
      <c r="T85" s="145"/>
      <c r="U85" s="145"/>
      <c r="V85" s="145"/>
    </row>
    <row r="86" spans="1:22" ht="21.75" customHeight="1" outlineLevel="1">
      <c r="A86" s="1090"/>
      <c r="B86" s="1020"/>
      <c r="C86" s="241" t="s">
        <v>41</v>
      </c>
      <c r="D86" s="236"/>
      <c r="E86" s="236"/>
      <c r="F86" s="236"/>
      <c r="G86" s="236"/>
      <c r="H86" s="977"/>
      <c r="I86" s="977"/>
      <c r="J86" s="977"/>
      <c r="K86" s="977"/>
      <c r="L86" s="238"/>
      <c r="M86" s="1004"/>
      <c r="N86" s="1092"/>
      <c r="Q86" s="144"/>
      <c r="R86" s="144"/>
      <c r="S86" s="144"/>
      <c r="T86" s="145"/>
      <c r="U86" s="145"/>
      <c r="V86" s="145"/>
    </row>
    <row r="87" spans="1:22" ht="13.9" customHeight="1" outlineLevel="1">
      <c r="A87" s="1090"/>
      <c r="B87" s="1020"/>
      <c r="C87" s="178" t="s">
        <v>25</v>
      </c>
      <c r="D87" s="243"/>
      <c r="E87" s="243"/>
      <c r="F87" s="243"/>
      <c r="G87" s="243"/>
      <c r="H87" s="809">
        <f>'Green Growth Facility'!G36*$Q$62</f>
        <v>634920</v>
      </c>
      <c r="I87" s="809">
        <f>'Green Growth Facility'!H36*$Q$62</f>
        <v>0</v>
      </c>
      <c r="J87" s="809">
        <f>'Green Growth Facility'!I36*$Q$62</f>
        <v>0</v>
      </c>
      <c r="K87" s="809">
        <f>'Green Growth Facility'!J36*$Q$62</f>
        <v>0</v>
      </c>
      <c r="L87" s="235"/>
      <c r="M87" s="1004"/>
      <c r="N87" s="1092"/>
      <c r="Q87" s="144"/>
      <c r="R87" s="144"/>
      <c r="S87" s="144"/>
      <c r="T87" s="145"/>
      <c r="U87" s="145"/>
      <c r="V87" s="145"/>
    </row>
    <row r="88" spans="1:22" ht="21" customHeight="1" outlineLevel="1" thickBot="1">
      <c r="A88" s="1090"/>
      <c r="B88" s="1020"/>
      <c r="C88" s="179" t="s">
        <v>41</v>
      </c>
      <c r="D88" s="244"/>
      <c r="E88" s="244"/>
      <c r="F88" s="244"/>
      <c r="G88" s="244"/>
      <c r="H88" s="973">
        <f>'Green Growth Facility'!G37*$Q$62</f>
        <v>309320</v>
      </c>
      <c r="I88" s="974">
        <f>'Green Growth Facility'!H37*$Q$62</f>
        <v>0</v>
      </c>
      <c r="J88" s="974">
        <f>'Green Growth Facility'!I37*$Q$62</f>
        <v>0</v>
      </c>
      <c r="K88" s="974">
        <f>'Green Growth Facility'!J37*$Q$62</f>
        <v>0</v>
      </c>
      <c r="L88" s="238"/>
      <c r="M88" s="1005"/>
      <c r="N88" s="1092"/>
      <c r="Q88" s="144"/>
      <c r="R88" s="144"/>
      <c r="S88" s="144"/>
      <c r="T88" s="145"/>
      <c r="U88" s="145"/>
      <c r="V88" s="145"/>
    </row>
    <row r="89" spans="1:22" ht="13.9" customHeight="1" thickBot="1">
      <c r="A89" s="1090"/>
      <c r="B89" s="1020"/>
      <c r="C89" s="1022" t="s">
        <v>18</v>
      </c>
      <c r="D89" s="1023"/>
      <c r="E89" s="1023"/>
      <c r="F89" s="1023"/>
      <c r="G89" s="1023"/>
      <c r="H89" s="1023"/>
      <c r="I89" s="1023"/>
      <c r="J89" s="1023"/>
      <c r="K89" s="1024"/>
      <c r="L89" s="251"/>
      <c r="M89" s="252"/>
      <c r="N89" s="1092"/>
      <c r="Q89" s="144"/>
      <c r="R89" s="144"/>
      <c r="S89" s="144"/>
      <c r="T89" s="145"/>
      <c r="U89" s="145"/>
      <c r="V89" s="145"/>
    </row>
    <row r="90" spans="1:22" ht="13.9" customHeight="1" thickBot="1">
      <c r="A90" s="1090"/>
      <c r="B90" s="1021"/>
      <c r="C90" s="1012" t="s">
        <v>46</v>
      </c>
      <c r="D90" s="1013"/>
      <c r="E90" s="1013"/>
      <c r="F90" s="1013"/>
      <c r="G90" s="1013"/>
      <c r="H90" s="1013"/>
      <c r="I90" s="1013"/>
      <c r="J90" s="1013"/>
      <c r="K90" s="1013"/>
      <c r="L90" s="246"/>
      <c r="M90" s="246"/>
      <c r="N90" s="1092"/>
      <c r="Q90" s="144"/>
      <c r="R90" s="144"/>
      <c r="S90" s="144"/>
      <c r="T90" s="145"/>
      <c r="U90" s="145"/>
      <c r="V90" s="145"/>
    </row>
    <row r="91" spans="1:22" ht="13.9" customHeight="1" thickBot="1">
      <c r="A91" s="1090"/>
      <c r="B91" s="713" t="s">
        <v>47</v>
      </c>
      <c r="C91" s="253"/>
      <c r="D91" s="138" t="str">
        <f>D$2</f>
        <v>Baseline (Jun-2021)</v>
      </c>
      <c r="E91" s="139">
        <f t="shared" ref="E91:K91" si="15">E$2</f>
        <v>44742</v>
      </c>
      <c r="F91" s="139">
        <f t="shared" si="15"/>
        <v>45107</v>
      </c>
      <c r="G91" s="139">
        <f t="shared" si="15"/>
        <v>45381</v>
      </c>
      <c r="H91" s="139">
        <f t="shared" si="15"/>
        <v>45746</v>
      </c>
      <c r="I91" s="139">
        <f t="shared" si="15"/>
        <v>46111</v>
      </c>
      <c r="J91" s="254">
        <f t="shared" si="15"/>
        <v>46476</v>
      </c>
      <c r="K91" s="140">
        <f t="shared" si="15"/>
        <v>46752</v>
      </c>
      <c r="L91" s="189"/>
      <c r="M91" s="189"/>
      <c r="N91" s="1092"/>
    </row>
    <row r="92" spans="1:22" ht="22.5" customHeight="1">
      <c r="A92" s="1090"/>
      <c r="B92" s="1065" t="s">
        <v>48</v>
      </c>
      <c r="C92" s="897" t="s">
        <v>49</v>
      </c>
      <c r="D92" s="898" t="str">
        <f>IF(ISERROR((D94+D96+D98)/(D93+D95+D97)),"-",TEXT(D93+D95+D97,"$0,0") &amp; " (" &amp; TEXT((D94+D96+D98)/(D93+D95+D97),"0%") &amp; ")")</f>
        <v>-</v>
      </c>
      <c r="E92" s="898" t="str">
        <f t="shared" ref="E92:G92" si="16">IF(ISERROR((E94+E96+E98)/(E93+E95+E97)),"-",TEXT(E93+E95+E97,"$0,0") &amp; " (" &amp; TEXT((E94+E96+E98)/(E93+E95+E97),"0%") &amp; ")")</f>
        <v>$902,500 (30%)</v>
      </c>
      <c r="F92" s="898" t="str">
        <f t="shared" si="16"/>
        <v>$2,280,000 (30%)</v>
      </c>
      <c r="G92" s="898" t="str">
        <f t="shared" si="16"/>
        <v>-</v>
      </c>
      <c r="H92" s="898" t="str">
        <f>IF(ISERROR((H94+H96+H98)/(H93+H95+H97)),"-",TEXT(H93+H95+H97,"£0,0") &amp; " (" &amp; TEXT((H94+H96+H98)/(H93+H95+H97),"0%") &amp; ")")</f>
        <v>£4,718,111 (65%)</v>
      </c>
      <c r="I92" s="898" t="str">
        <f>IF(ISERROR((I94+I96+I98)/(I93+I95+I97)),"-",TEXT(I93+I95+I97,"£0,0") &amp; " (" &amp; TEXT((I94+I96+I98)/(I93+I95+I97),"0%") &amp; ")")</f>
        <v>£8,898,482 (60%)</v>
      </c>
      <c r="J92" s="898" t="str">
        <f>IF(ISERROR((J94+J96+J98)/(J93+J95+J97)),"-",TEXT(J93+J95+J97,"£0,0") &amp; " (" &amp; TEXT((J94+J96+J98)/(J93+J95+J97),"0%") &amp; ")")</f>
        <v>£11,134,537 (54%)</v>
      </c>
      <c r="K92" s="978" t="str">
        <f>IF(ISERROR((K94+K96+K98)/(K93+K95+K97)),"-",TEXT(K93+K95+K97,"£0,0") &amp; " (" &amp; TEXT((K94+K96+K98)/(K93+K95+K97),"0%") &amp; ")")</f>
        <v>£7,400,000 (30%)</v>
      </c>
      <c r="L92" s="255"/>
      <c r="M92" s="1104" t="s">
        <v>50</v>
      </c>
      <c r="N92" s="1093"/>
      <c r="Q92" s="144"/>
      <c r="R92" s="144"/>
      <c r="S92" s="144"/>
      <c r="T92" s="145"/>
      <c r="U92" s="145"/>
      <c r="V92" s="145"/>
    </row>
    <row r="93" spans="1:22" ht="22.5" customHeight="1" outlineLevel="1">
      <c r="A93" s="1090"/>
      <c r="B93" s="1026"/>
      <c r="C93" s="156" t="s">
        <v>10</v>
      </c>
      <c r="D93" s="240">
        <v>0</v>
      </c>
      <c r="E93" s="240">
        <v>902500</v>
      </c>
      <c r="F93" s="240">
        <v>2280000</v>
      </c>
      <c r="G93" s="240">
        <v>3135000</v>
      </c>
      <c r="H93" s="809">
        <f>'Aceli Africa'!N36*$Q$62</f>
        <v>4718110.5</v>
      </c>
      <c r="I93" s="809">
        <f>'Aceli Africa'!P36*$Q$62</f>
        <v>7607496</v>
      </c>
      <c r="J93" s="809">
        <f>'Aceli Africa'!Q36*$Q$62</f>
        <v>7607496</v>
      </c>
      <c r="K93" s="809">
        <f>'Aceli Africa'!R36*$Q$62</f>
        <v>0</v>
      </c>
      <c r="L93" s="256"/>
      <c r="M93" s="1105"/>
      <c r="N93" s="1093"/>
      <c r="Q93" s="144"/>
      <c r="R93" s="144"/>
      <c r="S93" s="144"/>
      <c r="T93" s="145"/>
      <c r="U93" s="145"/>
      <c r="V93" s="145"/>
    </row>
    <row r="94" spans="1:22" s="153" customFormat="1" ht="22.5" customHeight="1" outlineLevel="1">
      <c r="A94" s="1090"/>
      <c r="B94" s="1026"/>
      <c r="C94" s="149" t="s">
        <v>41</v>
      </c>
      <c r="D94" s="237">
        <v>0</v>
      </c>
      <c r="E94" s="237">
        <v>270750</v>
      </c>
      <c r="F94" s="237">
        <v>684000</v>
      </c>
      <c r="G94" s="237">
        <v>2037750</v>
      </c>
      <c r="H94" s="973">
        <f>'Aceli Africa'!N37*$Q$62</f>
        <v>3066771.8250000002</v>
      </c>
      <c r="I94" s="974">
        <f>'Aceli Africa'!P37*$Q$62</f>
        <v>4944872.4000000004</v>
      </c>
      <c r="J94" s="974">
        <f>'Aceli Africa'!Q37*$Q$62</f>
        <v>4944872.4000000004</v>
      </c>
      <c r="K94" s="974">
        <f>'Aceli Africa'!R37*$Q$62</f>
        <v>0</v>
      </c>
      <c r="L94" s="257"/>
      <c r="M94" s="1105"/>
      <c r="N94" s="1093"/>
      <c r="Q94" s="154"/>
      <c r="R94" s="154"/>
      <c r="S94" s="154"/>
      <c r="T94" s="155"/>
      <c r="U94" s="155"/>
      <c r="V94" s="155"/>
    </row>
    <row r="95" spans="1:22" ht="22.5" customHeight="1" outlineLevel="1">
      <c r="A95" s="1090"/>
      <c r="B95" s="1026"/>
      <c r="C95" s="156" t="s">
        <v>13</v>
      </c>
      <c r="D95" s="258"/>
      <c r="E95" s="258"/>
      <c r="F95" s="258"/>
      <c r="G95" s="258"/>
      <c r="H95" s="258"/>
      <c r="I95" s="258"/>
      <c r="J95" s="258"/>
      <c r="K95" s="258"/>
      <c r="L95" s="259"/>
      <c r="M95" s="1105"/>
      <c r="N95" s="1093"/>
      <c r="Q95" s="144"/>
      <c r="R95" s="144"/>
      <c r="S95" s="144"/>
      <c r="T95" s="145"/>
      <c r="U95" s="145"/>
      <c r="V95" s="145"/>
    </row>
    <row r="96" spans="1:22" s="153" customFormat="1" ht="22.5" customHeight="1" outlineLevel="1">
      <c r="A96" s="1090"/>
      <c r="B96" s="1026"/>
      <c r="C96" s="149" t="s">
        <v>41</v>
      </c>
      <c r="D96" s="260"/>
      <c r="E96" s="260"/>
      <c r="F96" s="260"/>
      <c r="G96" s="260"/>
      <c r="H96" s="260"/>
      <c r="I96" s="260"/>
      <c r="J96" s="260"/>
      <c r="K96" s="260"/>
      <c r="L96" s="261"/>
      <c r="M96" s="1105"/>
      <c r="N96" s="1093"/>
      <c r="Q96" s="154"/>
      <c r="R96" s="154"/>
      <c r="S96" s="154"/>
      <c r="T96" s="155"/>
      <c r="U96" s="155"/>
      <c r="V96" s="155"/>
    </row>
    <row r="97" spans="1:22" ht="22.5" customHeight="1" outlineLevel="1">
      <c r="A97" s="1090"/>
      <c r="B97" s="1026"/>
      <c r="C97" s="156" t="s">
        <v>25</v>
      </c>
      <c r="D97" s="258"/>
      <c r="E97" s="240">
        <v>0</v>
      </c>
      <c r="F97" s="240">
        <v>0</v>
      </c>
      <c r="G97" s="240" t="e">
        <f>#REF!</f>
        <v>#REF!</v>
      </c>
      <c r="H97" s="809">
        <f>'Green Growth Facility'!G45*$Q$62</f>
        <v>0</v>
      </c>
      <c r="I97" s="809">
        <f>'Green Growth Facility'!H45*$Q$62</f>
        <v>1290986.46338387</v>
      </c>
      <c r="J97" s="809">
        <f>'Green Growth Facility'!I45*$Q$62</f>
        <v>3527040.6098483913</v>
      </c>
      <c r="K97" s="809">
        <f>'Green Growth Facility'!J45*$Q$62</f>
        <v>7400000</v>
      </c>
      <c r="L97" s="259"/>
      <c r="M97" s="1105"/>
      <c r="N97" s="1093"/>
      <c r="Q97" s="144"/>
      <c r="R97" s="144"/>
      <c r="S97" s="144"/>
      <c r="T97" s="145"/>
      <c r="U97" s="145"/>
      <c r="V97" s="145"/>
    </row>
    <row r="98" spans="1:22" s="153" customFormat="1" ht="22.5" customHeight="1" outlineLevel="1" thickBot="1">
      <c r="A98" s="1090"/>
      <c r="B98" s="1026"/>
      <c r="C98" s="262" t="s">
        <v>41</v>
      </c>
      <c r="D98" s="263"/>
      <c r="E98" s="242">
        <v>0</v>
      </c>
      <c r="F98" s="242">
        <v>0</v>
      </c>
      <c r="G98" s="242" t="e">
        <f>#REF!</f>
        <v>#REF!</v>
      </c>
      <c r="H98" s="973">
        <f>'Green Growth Facility'!G46*$Q$62</f>
        <v>0</v>
      </c>
      <c r="I98" s="974">
        <f>'Green Growth Facility'!H46*$Q$62</f>
        <v>387295.93901516101</v>
      </c>
      <c r="J98" s="974">
        <f>'Green Growth Facility'!I46*$Q$62</f>
        <v>1058112.1829545174</v>
      </c>
      <c r="K98" s="974">
        <f>'Green Growth Facility'!J46*$Q$62</f>
        <v>2220000</v>
      </c>
      <c r="L98" s="261"/>
      <c r="M98" s="1105"/>
      <c r="N98" s="1093"/>
      <c r="Q98" s="154"/>
      <c r="R98" s="154"/>
      <c r="S98" s="154"/>
      <c r="T98" s="155"/>
      <c r="U98" s="155"/>
      <c r="V98" s="155"/>
    </row>
    <row r="99" spans="1:22" ht="22.5" customHeight="1">
      <c r="A99" s="1090"/>
      <c r="B99" s="1026"/>
      <c r="C99" s="897" t="s">
        <v>51</v>
      </c>
      <c r="D99" s="898" t="str">
        <f>IF(ISERROR((D101+D103+D105)/(D100+D102+D104)),"-",TEXT(D100+D102+D104,"$0,0") &amp; " (" &amp; TEXT((D101+D103+D105)/(D100+D102+D104),"0%") &amp; ")")</f>
        <v>-</v>
      </c>
      <c r="E99" s="898" t="str">
        <f t="shared" ref="E99:G99" si="17">IF(ISERROR((E101+E103+E105)/(E100+E102+E104)),"-",TEXT(E100+E102+E104,"$0,0") &amp; " (" &amp; TEXT((E101+E103+E105)/(E100+E102+E104),"0%") &amp; ")")</f>
        <v>$451,250 (30%)</v>
      </c>
      <c r="F99" s="898" t="str">
        <f t="shared" si="17"/>
        <v>$1,140,000 (30%)</v>
      </c>
      <c r="G99" s="898" t="str">
        <f t="shared" si="17"/>
        <v>-</v>
      </c>
      <c r="H99" s="898" t="str">
        <f>IF(ISERROR((H101+H103+H105)/(H100+H102+H104)),"-",TEXT(H100+H102+H104,"£0,0") &amp; " (" &amp; TEXT((H101+H103+H105)/(H100+H102+H104),"0%") &amp; ")")</f>
        <v>£3,187,913 (65%)</v>
      </c>
      <c r="I99" s="898" t="str">
        <f>IF(ISERROR((I101+I103+I105)/(I100+I102+I104)),"-",TEXT(I100+I102+I104,"£0,0") &amp; " (" &amp; TEXT((I101+I103+I105)/(I100+I102+I104),"0%") &amp; ")")</f>
        <v>£4,449,241 (47%)</v>
      </c>
      <c r="J99" s="898" t="str">
        <f>IF(ISERROR((J101+J103+J105)/(J100+J102+J104)),"-",TEXT(J100+J102+J104,"£0,0") &amp; " (" &amp; TEXT((J101+J103+J105)/(J100+J102+J104),"0%") &amp; ")")</f>
        <v>£5,567,268 (44%)</v>
      </c>
      <c r="K99" s="978" t="str">
        <f>IF(ISERROR((K101+K103+K105)/(K100+K102+K104)),"-",TEXT(K100+K102+K104,"£0,0") &amp; " (" &amp; TEXT((K101+K103+K105)/(K100+K102+K104),"0%") &amp; ")")</f>
        <v>£3,700,000 (30%)</v>
      </c>
      <c r="L99" s="255"/>
      <c r="M99" s="1105"/>
      <c r="N99" s="1093"/>
      <c r="Q99" s="144"/>
      <c r="R99" s="144"/>
      <c r="S99" s="144"/>
      <c r="T99" s="145"/>
      <c r="U99" s="145"/>
      <c r="V99" s="145"/>
    </row>
    <row r="100" spans="1:22" ht="22.5" customHeight="1" outlineLevel="1">
      <c r="A100" s="1090"/>
      <c r="B100" s="1026"/>
      <c r="C100" s="156" t="s">
        <v>10</v>
      </c>
      <c r="D100" s="240">
        <v>0</v>
      </c>
      <c r="E100" s="240">
        <v>451250</v>
      </c>
      <c r="F100" s="240">
        <v>1140000</v>
      </c>
      <c r="G100" s="240">
        <v>1776500</v>
      </c>
      <c r="H100" s="809">
        <f>'Aceli Africa'!N38</f>
        <v>3187912.5</v>
      </c>
      <c r="I100" s="809">
        <f>'Aceli Africa'!P38*$Q$62</f>
        <v>3803748</v>
      </c>
      <c r="J100" s="809">
        <f>'Aceli Africa'!Q38*$Q$62</f>
        <v>3803748</v>
      </c>
      <c r="K100" s="809">
        <f>'Aceli Africa'!R38*$Q$62</f>
        <v>0</v>
      </c>
      <c r="L100" s="256"/>
      <c r="M100" s="1105"/>
      <c r="N100" s="1093"/>
      <c r="Q100" s="144"/>
      <c r="R100" s="144"/>
      <c r="S100" s="144"/>
      <c r="T100" s="145"/>
      <c r="U100" s="145"/>
      <c r="V100" s="145"/>
    </row>
    <row r="101" spans="1:22" s="153" customFormat="1" ht="22.5" customHeight="1" outlineLevel="1">
      <c r="A101" s="1090"/>
      <c r="B101" s="1026"/>
      <c r="C101" s="149" t="s">
        <v>41</v>
      </c>
      <c r="D101" s="237">
        <v>0</v>
      </c>
      <c r="E101" s="237">
        <v>135375</v>
      </c>
      <c r="F101" s="237">
        <v>342000</v>
      </c>
      <c r="G101" s="237">
        <v>1154725</v>
      </c>
      <c r="H101" s="973">
        <f>'Aceli Africa'!N39</f>
        <v>2072143.125</v>
      </c>
      <c r="I101" s="974">
        <f>'Aceli Africa'!P39*$Q$62</f>
        <v>1901874</v>
      </c>
      <c r="J101" s="974">
        <f>'Aceli Africa'!Q39*$Q$62</f>
        <v>1901874</v>
      </c>
      <c r="K101" s="974">
        <f>'Aceli Africa'!R39*$Q$62</f>
        <v>0</v>
      </c>
      <c r="L101" s="257"/>
      <c r="M101" s="1105"/>
      <c r="N101" s="1093"/>
      <c r="Q101" s="154"/>
      <c r="R101" s="154"/>
      <c r="S101" s="154"/>
      <c r="T101" s="155"/>
      <c r="U101" s="155"/>
      <c r="V101" s="155"/>
    </row>
    <row r="102" spans="1:22" ht="22.5" customHeight="1" outlineLevel="1">
      <c r="A102" s="1090"/>
      <c r="B102" s="1026"/>
      <c r="C102" s="156" t="s">
        <v>13</v>
      </c>
      <c r="D102" s="258"/>
      <c r="E102" s="258"/>
      <c r="F102" s="258"/>
      <c r="G102" s="258"/>
      <c r="H102" s="258"/>
      <c r="I102" s="258"/>
      <c r="J102" s="258"/>
      <c r="K102" s="258"/>
      <c r="L102" s="259"/>
      <c r="M102" s="1105"/>
      <c r="N102" s="1093"/>
      <c r="Q102" s="144"/>
      <c r="R102" s="144"/>
      <c r="S102" s="144"/>
      <c r="T102" s="145"/>
      <c r="U102" s="145"/>
      <c r="V102" s="145"/>
    </row>
    <row r="103" spans="1:22" s="153" customFormat="1" ht="22.5" customHeight="1" outlineLevel="1">
      <c r="A103" s="1090"/>
      <c r="B103" s="1026"/>
      <c r="C103" s="149" t="s">
        <v>41</v>
      </c>
      <c r="D103" s="260"/>
      <c r="E103" s="260"/>
      <c r="F103" s="260"/>
      <c r="G103" s="260"/>
      <c r="H103" s="260"/>
      <c r="I103" s="260"/>
      <c r="J103" s="260"/>
      <c r="K103" s="260"/>
      <c r="L103" s="261"/>
      <c r="M103" s="1105"/>
      <c r="N103" s="1093"/>
      <c r="Q103" s="154"/>
      <c r="R103" s="154"/>
      <c r="S103" s="154"/>
      <c r="T103" s="155"/>
      <c r="U103" s="155"/>
      <c r="V103" s="155"/>
    </row>
    <row r="104" spans="1:22" ht="22.5" customHeight="1" outlineLevel="1">
      <c r="A104" s="1090"/>
      <c r="B104" s="1026"/>
      <c r="C104" s="156" t="s">
        <v>25</v>
      </c>
      <c r="D104" s="258"/>
      <c r="E104" s="240">
        <v>0</v>
      </c>
      <c r="F104" s="240">
        <v>0</v>
      </c>
      <c r="G104" s="240" t="e">
        <f>#REF!</f>
        <v>#REF!</v>
      </c>
      <c r="H104" s="809">
        <f>'Green Growth Facility'!G47*$Q$62</f>
        <v>0</v>
      </c>
      <c r="I104" s="809">
        <f>'Green Growth Facility'!H47*$Q$62</f>
        <v>645493.23169193498</v>
      </c>
      <c r="J104" s="809">
        <f>'Green Growth Facility'!I47*$Q$62</f>
        <v>1763520.3049241956</v>
      </c>
      <c r="K104" s="809">
        <f>'Green Growth Facility'!J47*$Q$62</f>
        <v>3700000</v>
      </c>
      <c r="L104" s="259"/>
      <c r="M104" s="1105"/>
      <c r="N104" s="1093"/>
      <c r="Q104" s="144"/>
      <c r="R104" s="144"/>
      <c r="S104" s="144"/>
      <c r="T104" s="145"/>
      <c r="U104" s="145"/>
      <c r="V104" s="145"/>
    </row>
    <row r="105" spans="1:22" s="153" customFormat="1" ht="22.5" customHeight="1" outlineLevel="1" thickBot="1">
      <c r="A105" s="1090"/>
      <c r="B105" s="1026"/>
      <c r="C105" s="163" t="s">
        <v>41</v>
      </c>
      <c r="D105" s="264"/>
      <c r="E105" s="245">
        <v>0</v>
      </c>
      <c r="F105" s="245">
        <v>0</v>
      </c>
      <c r="G105" s="245" t="e">
        <f>#REF!</f>
        <v>#REF!</v>
      </c>
      <c r="H105" s="973">
        <f>'Green Growth Facility'!G48*$Q$62</f>
        <v>0</v>
      </c>
      <c r="I105" s="974">
        <f>'Green Growth Facility'!H48*$Q$62</f>
        <v>193647.96950758051</v>
      </c>
      <c r="J105" s="974">
        <f>'Green Growth Facility'!I48*$Q$62</f>
        <v>529056.09147725871</v>
      </c>
      <c r="K105" s="974">
        <f>'Green Growth Facility'!J48*$Q$62</f>
        <v>1110000</v>
      </c>
      <c r="L105" s="261"/>
      <c r="M105" s="1105"/>
      <c r="N105" s="1093"/>
      <c r="Q105" s="154"/>
      <c r="R105" s="154"/>
      <c r="S105" s="154"/>
      <c r="T105" s="155"/>
      <c r="U105" s="155"/>
      <c r="V105" s="155"/>
    </row>
    <row r="106" spans="1:22" ht="22.5" customHeight="1">
      <c r="A106" s="1090"/>
      <c r="B106" s="1026"/>
      <c r="C106" s="831" t="s">
        <v>52</v>
      </c>
      <c r="D106" s="832" t="str">
        <f>IF(ISERROR((D108+D110+D112)/(D107+D109+D111)),"-",TEXT(D107+D109+D111,"$0,0") &amp; " (" &amp; TEXT((D108+D110+D112)/(D107+D109+D111),"0%") &amp; ")")</f>
        <v>-</v>
      </c>
      <c r="E106" s="832" t="str">
        <f t="shared" ref="E106:J106" si="18">IF(ISERROR((E108+E110+E112)/(E107+E109+E111)),"-",TEXT(E107+E109+E111,"$0,0") &amp; " (" &amp; TEXT((E108+E110+E112)/(E107+E109+E111),"0%") &amp; ")")</f>
        <v>$782,119 (96%)</v>
      </c>
      <c r="F106" s="832" t="str">
        <f t="shared" si="18"/>
        <v>-</v>
      </c>
      <c r="G106" s="832" t="str">
        <f t="shared" si="18"/>
        <v>$3,356,532 (65%)</v>
      </c>
      <c r="H106" s="832" t="str">
        <f>IF(ISERROR((H108+H110+H112)/(H107+H109+H111)),"-",TEXT(H107+H109+H111,"£0,0") &amp; " (" &amp; TEXT((H108+H110+H112)/(H107+H109+H111),"0%") &amp; ")")</f>
        <v>£6,385,791 (61%)</v>
      </c>
      <c r="I106" s="832" t="str">
        <f t="shared" si="18"/>
        <v>-</v>
      </c>
      <c r="J106" s="832" t="str">
        <f t="shared" si="18"/>
        <v>-</v>
      </c>
      <c r="K106" s="833"/>
      <c r="L106" s="255"/>
      <c r="M106" s="1105"/>
      <c r="N106" s="1093"/>
      <c r="Q106" s="144"/>
      <c r="R106" s="144"/>
      <c r="S106" s="144"/>
      <c r="T106" s="145"/>
      <c r="U106" s="145"/>
      <c r="V106" s="145"/>
    </row>
    <row r="107" spans="1:22" ht="22.5" customHeight="1" outlineLevel="1">
      <c r="A107" s="1090"/>
      <c r="B107" s="1026"/>
      <c r="C107" s="156" t="s">
        <v>10</v>
      </c>
      <c r="D107" s="243"/>
      <c r="E107" s="240">
        <v>782119</v>
      </c>
      <c r="F107" s="240">
        <v>0</v>
      </c>
      <c r="G107" s="240">
        <v>3356532.1340000005</v>
      </c>
      <c r="H107" s="809">
        <f>'Aceli Africa'!N40*$Q$62</f>
        <v>5987439.9044308234</v>
      </c>
      <c r="I107" s="809">
        <f>'Aceli Africa'!P40*$Q$62</f>
        <v>0</v>
      </c>
      <c r="J107" s="809">
        <f>'Aceli Africa'!Q40*$Q$62</f>
        <v>0</v>
      </c>
      <c r="K107" s="809"/>
      <c r="L107" s="259"/>
      <c r="M107" s="1105"/>
      <c r="N107" s="1093"/>
      <c r="Q107" s="144"/>
      <c r="R107" s="144"/>
      <c r="S107" s="144"/>
      <c r="T107" s="145"/>
      <c r="U107" s="145"/>
      <c r="V107" s="145"/>
    </row>
    <row r="108" spans="1:22" s="153" customFormat="1" ht="22.5" customHeight="1" outlineLevel="1">
      <c r="A108" s="1090"/>
      <c r="B108" s="1026"/>
      <c r="C108" s="149" t="s">
        <v>41</v>
      </c>
      <c r="D108" s="236"/>
      <c r="E108" s="237">
        <v>753179</v>
      </c>
      <c r="F108" s="237">
        <v>0</v>
      </c>
      <c r="G108" s="568">
        <v>2185775.3340000003</v>
      </c>
      <c r="H108" s="973">
        <f>'Aceli Africa'!N41*$Q$62</f>
        <v>3877631.2144022416</v>
      </c>
      <c r="I108" s="974">
        <f>'Aceli Africa'!P41*$Q$62</f>
        <v>0</v>
      </c>
      <c r="J108" s="974">
        <f>'Aceli Africa'!Q41*$Q$62</f>
        <v>0</v>
      </c>
      <c r="K108" s="974"/>
      <c r="L108" s="261"/>
      <c r="M108" s="1105"/>
      <c r="N108" s="1093"/>
      <c r="Q108" s="154"/>
      <c r="R108" s="154"/>
      <c r="S108" s="154"/>
      <c r="T108" s="155"/>
      <c r="U108" s="155"/>
      <c r="V108" s="155"/>
    </row>
    <row r="109" spans="1:22" ht="22.5" customHeight="1" outlineLevel="1">
      <c r="A109" s="1090"/>
      <c r="B109" s="1026"/>
      <c r="C109" s="156" t="s">
        <v>13</v>
      </c>
      <c r="D109" s="243"/>
      <c r="E109" s="243"/>
      <c r="F109" s="243"/>
      <c r="G109" s="243"/>
      <c r="H109" s="243"/>
      <c r="I109" s="243"/>
      <c r="J109" s="243"/>
      <c r="K109" s="243"/>
      <c r="L109" s="259"/>
      <c r="M109" s="1105"/>
      <c r="N109" s="1093"/>
      <c r="Q109" s="144"/>
      <c r="R109" s="144"/>
      <c r="S109" s="144"/>
      <c r="T109" s="145"/>
      <c r="U109" s="145"/>
      <c r="V109" s="145"/>
    </row>
    <row r="110" spans="1:22" s="153" customFormat="1" ht="22.5" customHeight="1" outlineLevel="1">
      <c r="A110" s="1090"/>
      <c r="B110" s="1026"/>
      <c r="C110" s="149" t="s">
        <v>41</v>
      </c>
      <c r="D110" s="236"/>
      <c r="E110" s="236"/>
      <c r="F110" s="236"/>
      <c r="G110" s="236"/>
      <c r="H110" s="236"/>
      <c r="I110" s="236"/>
      <c r="J110" s="236"/>
      <c r="K110" s="236"/>
      <c r="L110" s="261"/>
      <c r="M110" s="1105"/>
      <c r="N110" s="1093"/>
      <c r="Q110" s="154"/>
      <c r="R110" s="154"/>
      <c r="S110" s="154"/>
      <c r="T110" s="155"/>
      <c r="U110" s="155"/>
      <c r="V110" s="155"/>
    </row>
    <row r="111" spans="1:22" ht="22.5" customHeight="1" outlineLevel="1">
      <c r="A111" s="1090"/>
      <c r="B111" s="1026"/>
      <c r="C111" s="156" t="s">
        <v>25</v>
      </c>
      <c r="D111" s="243"/>
      <c r="E111" s="243"/>
      <c r="F111" s="243"/>
      <c r="G111" s="243"/>
      <c r="H111" s="809">
        <f>'Green Growth Facility'!G49*$Q$62</f>
        <v>398350.88</v>
      </c>
      <c r="I111" s="809">
        <f>'Green Growth Facility'!H49*$Q$62</f>
        <v>0</v>
      </c>
      <c r="J111" s="809">
        <f>'Green Growth Facility'!I49*$Q$62</f>
        <v>0</v>
      </c>
      <c r="K111" s="809">
        <f>'Green Growth Facility'!J49*$Q$62</f>
        <v>0</v>
      </c>
      <c r="L111" s="259"/>
      <c r="M111" s="1105"/>
      <c r="N111" s="1093"/>
      <c r="Q111" s="144"/>
      <c r="R111" s="144"/>
      <c r="S111" s="144"/>
      <c r="T111" s="145"/>
      <c r="U111" s="145"/>
      <c r="V111" s="145"/>
    </row>
    <row r="112" spans="1:22" s="153" customFormat="1" ht="22.5" customHeight="1" outlineLevel="1" thickBot="1">
      <c r="A112" s="1090"/>
      <c r="B112" s="1026"/>
      <c r="C112" s="262" t="s">
        <v>41</v>
      </c>
      <c r="D112" s="265"/>
      <c r="E112" s="265"/>
      <c r="F112" s="265"/>
      <c r="G112" s="265"/>
      <c r="H112" s="973">
        <f>'Green Growth Facility'!G50*$Q$62</f>
        <v>0</v>
      </c>
      <c r="I112" s="974">
        <f>'Green Growth Facility'!H50*$Q$62</f>
        <v>0</v>
      </c>
      <c r="J112" s="974">
        <f>'Green Growth Facility'!I50*$Q$62</f>
        <v>0</v>
      </c>
      <c r="K112" s="974">
        <f>'Green Growth Facility'!J50*$Q$62</f>
        <v>0</v>
      </c>
      <c r="L112" s="261"/>
      <c r="M112" s="1105"/>
      <c r="N112" s="1093"/>
      <c r="Q112" s="154"/>
      <c r="R112" s="154"/>
      <c r="S112" s="154"/>
      <c r="T112" s="155"/>
      <c r="U112" s="155"/>
      <c r="V112" s="155"/>
    </row>
    <row r="113" spans="1:22" ht="38.25" customHeight="1">
      <c r="A113" s="1090"/>
      <c r="B113" s="1026"/>
      <c r="C113" s="831" t="s">
        <v>53</v>
      </c>
      <c r="D113" s="834"/>
      <c r="E113" s="832" t="str">
        <f t="shared" ref="E113:K113" si="19">IF(ISERROR((E115+E119)/(E114+E118)),"-",TEXT(E114+E118,"0,0") &amp; " (" &amp; TEXT((E115+E119)/(E114+E118),"0%") &amp; ")")</f>
        <v>556,718 (95%)</v>
      </c>
      <c r="F113" s="832" t="str">
        <f t="shared" si="19"/>
        <v>-</v>
      </c>
      <c r="G113" s="832" t="str">
        <f t="shared" si="19"/>
        <v>-</v>
      </c>
      <c r="H113" s="832" t="str">
        <f>IF(ISERROR((H115+H119)/(H114+H118)),"-",TEXT(H114+H118,"£0,0") &amp; " (" &amp; TEXT((H115+H119)/(H114+H118),"0%") &amp; ")")</f>
        <v>£2,499,960 (61%)</v>
      </c>
      <c r="I113" s="832" t="str">
        <f t="shared" si="19"/>
        <v>-</v>
      </c>
      <c r="J113" s="832" t="str">
        <f t="shared" si="19"/>
        <v>-</v>
      </c>
      <c r="K113" s="833" t="str">
        <f t="shared" si="19"/>
        <v>-</v>
      </c>
      <c r="L113" s="255"/>
      <c r="M113" s="1105"/>
      <c r="N113" s="1093"/>
      <c r="Q113" s="144"/>
      <c r="R113" s="144"/>
      <c r="S113" s="144"/>
      <c r="T113" s="145"/>
      <c r="U113" s="145"/>
      <c r="V113" s="145"/>
    </row>
    <row r="114" spans="1:22" ht="22.5" customHeight="1" outlineLevel="1">
      <c r="A114" s="1090"/>
      <c r="B114" s="1026"/>
      <c r="C114" s="156" t="s">
        <v>10</v>
      </c>
      <c r="D114" s="243"/>
      <c r="E114" s="240">
        <v>556718</v>
      </c>
      <c r="F114" s="240">
        <v>0</v>
      </c>
      <c r="G114" s="240">
        <v>1590348.4017500002</v>
      </c>
      <c r="H114" s="809">
        <f>'Aceli Africa'!N42*$Q$62</f>
        <v>2483221.3603627775</v>
      </c>
      <c r="I114" s="809">
        <f>'Aceli Africa'!P42*$Q$62</f>
        <v>0</v>
      </c>
      <c r="J114" s="809">
        <f>'Aceli Africa'!Q42*$Q$62</f>
        <v>0</v>
      </c>
      <c r="K114" s="809"/>
      <c r="L114" s="259"/>
      <c r="M114" s="1105"/>
      <c r="N114" s="1093"/>
      <c r="Q114" s="144"/>
      <c r="R114" s="144"/>
      <c r="S114" s="144"/>
      <c r="T114" s="145"/>
      <c r="U114" s="145"/>
      <c r="V114" s="145"/>
    </row>
    <row r="115" spans="1:22" s="153" customFormat="1" ht="22.5" customHeight="1" outlineLevel="1">
      <c r="A115" s="1090"/>
      <c r="B115" s="1026"/>
      <c r="C115" s="149" t="s">
        <v>41</v>
      </c>
      <c r="D115" s="236"/>
      <c r="E115" s="237">
        <v>530307</v>
      </c>
      <c r="F115" s="237">
        <v>0</v>
      </c>
      <c r="G115" s="568">
        <v>921471.89250000007</v>
      </c>
      <c r="H115" s="809">
        <f>'Aceli Africa'!N43*$Q$62</f>
        <v>1529357.087734919</v>
      </c>
      <c r="I115" s="972">
        <f>'Aceli Africa'!P43*$Q$62</f>
        <v>0</v>
      </c>
      <c r="J115" s="972">
        <f>'Aceli Africa'!Q43*$Q$62</f>
        <v>0</v>
      </c>
      <c r="K115" s="809"/>
      <c r="L115" s="261"/>
      <c r="M115" s="1105"/>
      <c r="N115" s="1093"/>
      <c r="Q115" s="154"/>
      <c r="R115" s="154"/>
      <c r="S115" s="154"/>
      <c r="T115" s="155"/>
      <c r="U115" s="155"/>
      <c r="V115" s="155"/>
    </row>
    <row r="116" spans="1:22" ht="22.5" customHeight="1" outlineLevel="1">
      <c r="A116" s="1090"/>
      <c r="B116" s="1026"/>
      <c r="C116" s="156" t="s">
        <v>13</v>
      </c>
      <c r="D116" s="243"/>
      <c r="E116" s="243"/>
      <c r="F116" s="243"/>
      <c r="G116" s="243"/>
      <c r="H116" s="243"/>
      <c r="I116" s="243"/>
      <c r="J116" s="243"/>
      <c r="K116" s="243"/>
      <c r="L116" s="259"/>
      <c r="M116" s="1105"/>
      <c r="N116" s="1093"/>
      <c r="Q116" s="144"/>
      <c r="R116" s="144"/>
      <c r="S116" s="144"/>
      <c r="T116" s="145"/>
      <c r="U116" s="145"/>
      <c r="V116" s="145"/>
    </row>
    <row r="117" spans="1:22" s="153" customFormat="1" ht="22.5" customHeight="1" outlineLevel="1">
      <c r="A117" s="1090"/>
      <c r="B117" s="1026"/>
      <c r="C117" s="149" t="s">
        <v>41</v>
      </c>
      <c r="D117" s="236"/>
      <c r="E117" s="236"/>
      <c r="F117" s="236"/>
      <c r="G117" s="236"/>
      <c r="H117" s="236"/>
      <c r="I117" s="236"/>
      <c r="J117" s="236"/>
      <c r="K117" s="236"/>
      <c r="L117" s="261"/>
      <c r="M117" s="1105"/>
      <c r="N117" s="1093"/>
      <c r="Q117" s="154"/>
      <c r="R117" s="154"/>
      <c r="S117" s="154"/>
      <c r="T117" s="155"/>
      <c r="U117" s="155"/>
      <c r="V117" s="155"/>
    </row>
    <row r="118" spans="1:22" ht="22.5" customHeight="1" outlineLevel="1">
      <c r="A118" s="1090"/>
      <c r="B118" s="1026"/>
      <c r="C118" s="156" t="s">
        <v>25</v>
      </c>
      <c r="D118" s="243"/>
      <c r="E118" s="240"/>
      <c r="F118" s="240"/>
      <c r="G118" s="240" t="e">
        <f>#REF!</f>
        <v>#REF!</v>
      </c>
      <c r="H118" s="809">
        <f>'Green Growth Facility'!G51*$Q$62</f>
        <v>16738.8</v>
      </c>
      <c r="I118" s="809">
        <f>'Green Growth Facility'!H51*$Q$62</f>
        <v>0</v>
      </c>
      <c r="J118" s="809">
        <f>'Green Growth Facility'!I51*$Q$62</f>
        <v>0</v>
      </c>
      <c r="K118" s="809">
        <f>'Green Growth Facility'!J51*$Q$62</f>
        <v>0</v>
      </c>
      <c r="L118" s="259"/>
      <c r="M118" s="1105"/>
      <c r="N118" s="1093"/>
      <c r="Q118" s="144"/>
      <c r="R118" s="144"/>
      <c r="S118" s="144"/>
      <c r="T118" s="145"/>
      <c r="U118" s="145"/>
      <c r="V118" s="145"/>
    </row>
    <row r="119" spans="1:22" s="153" customFormat="1" ht="22.5" customHeight="1" outlineLevel="1" thickBot="1">
      <c r="A119" s="1090"/>
      <c r="B119" s="1026"/>
      <c r="C119" s="163" t="s">
        <v>41</v>
      </c>
      <c r="D119" s="244"/>
      <c r="E119" s="245"/>
      <c r="F119" s="245"/>
      <c r="G119" s="568" t="e">
        <f>#REF!</f>
        <v>#REF!</v>
      </c>
      <c r="H119" s="809">
        <f>'Green Growth Facility'!G52*$Q$62</f>
        <v>0</v>
      </c>
      <c r="I119" s="972">
        <f>'Green Growth Facility'!H52*$Q$62</f>
        <v>0</v>
      </c>
      <c r="J119" s="972">
        <f>'Green Growth Facility'!I52*$Q$62</f>
        <v>0</v>
      </c>
      <c r="K119" s="972">
        <f>'Green Growth Facility'!J52*$Q$62</f>
        <v>0</v>
      </c>
      <c r="L119" s="261"/>
      <c r="M119" s="1106"/>
      <c r="N119" s="1093"/>
      <c r="Q119" s="154"/>
      <c r="R119" s="154"/>
      <c r="S119" s="154"/>
      <c r="T119" s="155"/>
      <c r="U119" s="155"/>
      <c r="V119" s="155"/>
    </row>
    <row r="120" spans="1:22" ht="22.5" customHeight="1" thickBot="1">
      <c r="A120" s="1090"/>
      <c r="B120" s="1020"/>
      <c r="C120" s="1022" t="s">
        <v>18</v>
      </c>
      <c r="D120" s="1023"/>
      <c r="E120" s="1023"/>
      <c r="F120" s="1023"/>
      <c r="G120" s="1023"/>
      <c r="H120" s="1023"/>
      <c r="I120" s="1023"/>
      <c r="J120" s="1023"/>
      <c r="K120" s="1024"/>
      <c r="L120" s="181"/>
      <c r="M120" s="266"/>
      <c r="N120" s="1093"/>
      <c r="Q120" s="144"/>
      <c r="R120" s="144"/>
      <c r="S120" s="144"/>
      <c r="T120" s="145"/>
      <c r="U120" s="145"/>
      <c r="V120" s="145"/>
    </row>
    <row r="121" spans="1:22" ht="22.5" customHeight="1" thickBot="1">
      <c r="A121" s="1090"/>
      <c r="B121" s="1021"/>
      <c r="C121" s="1066" t="s">
        <v>54</v>
      </c>
      <c r="D121" s="1013"/>
      <c r="E121" s="1013"/>
      <c r="F121" s="1013"/>
      <c r="G121" s="1013"/>
      <c r="H121" s="1013"/>
      <c r="I121" s="1013"/>
      <c r="J121" s="1013"/>
      <c r="K121" s="1067"/>
      <c r="L121" s="267"/>
      <c r="M121" s="267"/>
      <c r="N121" s="1093"/>
      <c r="Q121" s="144"/>
      <c r="R121" s="144"/>
      <c r="S121" s="144"/>
      <c r="T121" s="145"/>
      <c r="U121" s="145"/>
      <c r="V121" s="145"/>
    </row>
    <row r="122" spans="1:22" ht="22.5" customHeight="1" thickBot="1">
      <c r="A122" s="1090"/>
      <c r="B122" s="713" t="s">
        <v>55</v>
      </c>
      <c r="C122" s="253"/>
      <c r="D122" s="201" t="str">
        <f>D$2</f>
        <v>Baseline (Jun-2021)</v>
      </c>
      <c r="E122" s="139">
        <f t="shared" ref="E122:K122" si="20">E$2</f>
        <v>44742</v>
      </c>
      <c r="F122" s="139">
        <f t="shared" si="20"/>
        <v>45107</v>
      </c>
      <c r="G122" s="139">
        <f t="shared" si="20"/>
        <v>45381</v>
      </c>
      <c r="H122" s="139">
        <f t="shared" si="20"/>
        <v>45746</v>
      </c>
      <c r="I122" s="139">
        <f t="shared" si="20"/>
        <v>46111</v>
      </c>
      <c r="J122" s="254">
        <f t="shared" si="20"/>
        <v>46476</v>
      </c>
      <c r="K122" s="140">
        <f t="shared" si="20"/>
        <v>46752</v>
      </c>
      <c r="L122" s="189"/>
      <c r="M122" s="189"/>
      <c r="N122" s="1092"/>
    </row>
    <row r="123" spans="1:22" ht="22.5" customHeight="1">
      <c r="A123" s="1090"/>
      <c r="B123" s="1065" t="s">
        <v>56</v>
      </c>
      <c r="C123" s="897" t="s">
        <v>29</v>
      </c>
      <c r="D123" s="899">
        <f>SUM(D124:D126)</f>
        <v>0</v>
      </c>
      <c r="E123" s="899">
        <f t="shared" ref="E123:K123" si="21">SUM(E124:E126)</f>
        <v>0</v>
      </c>
      <c r="F123" s="899">
        <f t="shared" si="21"/>
        <v>0</v>
      </c>
      <c r="G123" s="899">
        <f t="shared" si="21"/>
        <v>0</v>
      </c>
      <c r="H123" s="899">
        <f t="shared" si="21"/>
        <v>5</v>
      </c>
      <c r="I123" s="899">
        <f t="shared" si="21"/>
        <v>12</v>
      </c>
      <c r="J123" s="899">
        <f t="shared" si="21"/>
        <v>20</v>
      </c>
      <c r="K123" s="900">
        <f t="shared" si="21"/>
        <v>12</v>
      </c>
      <c r="L123" s="170"/>
      <c r="M123" s="1007" t="s">
        <v>57</v>
      </c>
      <c r="N123" s="1092"/>
      <c r="P123" s="159"/>
      <c r="Q123" s="190"/>
      <c r="R123" s="190"/>
      <c r="S123" s="190"/>
      <c r="T123" s="190"/>
      <c r="U123" s="190"/>
      <c r="V123" s="190"/>
    </row>
    <row r="124" spans="1:22" ht="22.5" customHeight="1" outlineLevel="1">
      <c r="A124" s="1090"/>
      <c r="B124" s="1026"/>
      <c r="C124" s="268" t="s">
        <v>10</v>
      </c>
      <c r="D124" s="158">
        <v>0</v>
      </c>
      <c r="E124" s="158">
        <v>0</v>
      </c>
      <c r="F124" s="158">
        <v>0</v>
      </c>
      <c r="G124" s="158">
        <v>0</v>
      </c>
      <c r="H124" s="158">
        <f>'Aceli Africa'!N47</f>
        <v>0</v>
      </c>
      <c r="I124" s="158">
        <v>1</v>
      </c>
      <c r="J124" s="158">
        <v>1</v>
      </c>
      <c r="K124" s="158"/>
      <c r="L124" s="159"/>
      <c r="M124" s="1006"/>
      <c r="N124" s="1092"/>
      <c r="Q124" s="144"/>
      <c r="R124" s="144"/>
      <c r="S124" s="144"/>
      <c r="T124" s="145"/>
      <c r="U124" s="145"/>
      <c r="V124" s="145"/>
    </row>
    <row r="125" spans="1:22" ht="22.5" customHeight="1" outlineLevel="1">
      <c r="A125" s="1090"/>
      <c r="B125" s="1026"/>
      <c r="C125" s="268" t="s">
        <v>13</v>
      </c>
      <c r="D125" s="193"/>
      <c r="E125" s="193"/>
      <c r="F125" s="193"/>
      <c r="G125" s="193"/>
      <c r="H125" s="158">
        <f>'Manufacturing Africa'!F40</f>
        <v>3</v>
      </c>
      <c r="I125" s="158">
        <f>'Manufacturing Africa'!G40</f>
        <v>6</v>
      </c>
      <c r="J125" s="158">
        <f>'Manufacturing Africa'!H40</f>
        <v>11</v>
      </c>
      <c r="K125" s="158">
        <f>'Manufacturing Africa'!I40</f>
        <v>0</v>
      </c>
      <c r="L125" s="159"/>
      <c r="M125" s="1006"/>
      <c r="N125" s="1092"/>
      <c r="Q125" s="144"/>
      <c r="R125" s="144"/>
      <c r="S125" s="144"/>
      <c r="T125" s="145"/>
      <c r="U125" s="145"/>
      <c r="V125" s="145"/>
    </row>
    <row r="126" spans="1:22" ht="22.5" customHeight="1" outlineLevel="1" thickBot="1">
      <c r="A126" s="1090"/>
      <c r="B126" s="1026"/>
      <c r="C126" s="269" t="s">
        <v>25</v>
      </c>
      <c r="D126" s="270"/>
      <c r="E126" s="270"/>
      <c r="F126" s="270"/>
      <c r="G126" s="270"/>
      <c r="H126" s="271">
        <f>'Green Growth Facility'!G56</f>
        <v>2</v>
      </c>
      <c r="I126" s="271">
        <f>'Green Growth Facility'!H56</f>
        <v>5</v>
      </c>
      <c r="J126" s="271">
        <f>'Green Growth Facility'!I56</f>
        <v>8</v>
      </c>
      <c r="K126" s="271">
        <f>'Green Growth Facility'!J56</f>
        <v>12</v>
      </c>
      <c r="L126" s="159"/>
      <c r="M126" s="1006"/>
      <c r="N126" s="1092"/>
      <c r="Q126" s="144"/>
      <c r="R126" s="144"/>
      <c r="S126" s="144"/>
      <c r="T126" s="145"/>
      <c r="U126" s="145"/>
      <c r="V126" s="145"/>
    </row>
    <row r="127" spans="1:22" ht="14.1" customHeight="1">
      <c r="A127" s="1090"/>
      <c r="B127" s="1026"/>
      <c r="C127" s="831" t="s">
        <v>31</v>
      </c>
      <c r="D127" s="835"/>
      <c r="E127" s="835"/>
      <c r="F127" s="835"/>
      <c r="G127" s="835"/>
      <c r="H127" s="836">
        <f>SUM(H128:H130)</f>
        <v>3</v>
      </c>
      <c r="I127" s="836"/>
      <c r="J127" s="836"/>
      <c r="K127" s="837"/>
      <c r="L127" s="170"/>
      <c r="M127" s="1006"/>
      <c r="N127" s="1092"/>
      <c r="Q127" s="182"/>
      <c r="R127" s="182"/>
      <c r="S127" s="182"/>
      <c r="T127" s="182"/>
      <c r="U127" s="182"/>
      <c r="V127" s="182"/>
    </row>
    <row r="128" spans="1:22" ht="13.9" customHeight="1" outlineLevel="1">
      <c r="A128" s="1090"/>
      <c r="B128" s="1026"/>
      <c r="C128" s="268" t="s">
        <v>10</v>
      </c>
      <c r="D128" s="196"/>
      <c r="E128" s="196"/>
      <c r="F128" s="196"/>
      <c r="G128" s="196"/>
      <c r="H128" s="158">
        <f>'Aceli Africa'!N48</f>
        <v>0</v>
      </c>
      <c r="I128" s="158">
        <f>'Aceli Africa'!P48</f>
        <v>0</v>
      </c>
      <c r="J128" s="158">
        <f>'Aceli Africa'!Q48</f>
        <v>0</v>
      </c>
      <c r="K128" s="158">
        <f>'Aceli Africa'!R48</f>
        <v>0</v>
      </c>
      <c r="L128" s="159"/>
      <c r="M128" s="1006"/>
      <c r="N128" s="1092"/>
      <c r="Q128" s="144"/>
      <c r="R128" s="144"/>
      <c r="S128" s="144"/>
      <c r="T128" s="145"/>
      <c r="U128" s="145"/>
      <c r="V128" s="145"/>
    </row>
    <row r="129" spans="1:22" ht="13.9" customHeight="1" outlineLevel="1">
      <c r="A129" s="1090"/>
      <c r="B129" s="1026"/>
      <c r="C129" s="268" t="s">
        <v>13</v>
      </c>
      <c r="D129" s="196"/>
      <c r="E129" s="196"/>
      <c r="F129" s="196"/>
      <c r="G129" s="196"/>
      <c r="H129" s="158">
        <f>'Manufacturing Africa'!F41</f>
        <v>0</v>
      </c>
      <c r="I129" s="158">
        <f>'Manufacturing Africa'!G41</f>
        <v>0</v>
      </c>
      <c r="J129" s="158">
        <f>'Manufacturing Africa'!H41</f>
        <v>0</v>
      </c>
      <c r="K129" s="158">
        <f>'Manufacturing Africa'!I41</f>
        <v>0</v>
      </c>
      <c r="L129" s="159"/>
      <c r="M129" s="1006"/>
      <c r="N129" s="1092"/>
      <c r="Q129" s="144"/>
      <c r="R129" s="144"/>
      <c r="S129" s="144"/>
      <c r="T129" s="145"/>
      <c r="U129" s="145"/>
      <c r="V129" s="145"/>
    </row>
    <row r="130" spans="1:22" ht="13.9" customHeight="1" outlineLevel="1" thickBot="1">
      <c r="A130" s="1090"/>
      <c r="B130" s="1026"/>
      <c r="C130" s="269" t="s">
        <v>25</v>
      </c>
      <c r="D130" s="272"/>
      <c r="E130" s="272"/>
      <c r="F130" s="272"/>
      <c r="G130" s="272"/>
      <c r="H130" s="271">
        <f>'Green Growth Facility'!G59</f>
        <v>3</v>
      </c>
      <c r="I130" s="271">
        <f>'Green Growth Facility'!H59</f>
        <v>0</v>
      </c>
      <c r="J130" s="271">
        <f>'Green Growth Facility'!I59</f>
        <v>0</v>
      </c>
      <c r="K130" s="271">
        <f>'Green Growth Facility'!J59</f>
        <v>0</v>
      </c>
      <c r="L130" s="159"/>
      <c r="M130" s="1008"/>
      <c r="N130" s="1092"/>
      <c r="Q130" s="144"/>
      <c r="R130" s="144"/>
      <c r="S130" s="144"/>
      <c r="T130" s="145"/>
      <c r="U130" s="145"/>
      <c r="V130" s="145"/>
    </row>
    <row r="131" spans="1:22" ht="13.9" customHeight="1" thickBot="1">
      <c r="A131" s="1090"/>
      <c r="B131" s="1026"/>
      <c r="C131" s="1009" t="s">
        <v>18</v>
      </c>
      <c r="D131" s="1010"/>
      <c r="E131" s="1010"/>
      <c r="F131" s="1010"/>
      <c r="G131" s="1010"/>
      <c r="H131" s="1010"/>
      <c r="I131" s="1010"/>
      <c r="J131" s="1010"/>
      <c r="K131" s="1011"/>
      <c r="L131" s="251"/>
      <c r="M131" s="204"/>
      <c r="N131" s="1092"/>
      <c r="Q131" s="182"/>
      <c r="R131" s="182"/>
      <c r="S131" s="182"/>
      <c r="T131" s="182"/>
      <c r="U131" s="182"/>
      <c r="V131" s="182"/>
    </row>
    <row r="132" spans="1:22" ht="27" customHeight="1" thickBot="1">
      <c r="A132" s="1090"/>
      <c r="B132" s="1021"/>
      <c r="C132" s="1012" t="s">
        <v>58</v>
      </c>
      <c r="D132" s="1013"/>
      <c r="E132" s="1013"/>
      <c r="F132" s="1013"/>
      <c r="G132" s="1013"/>
      <c r="H132" s="1013"/>
      <c r="I132" s="1013"/>
      <c r="J132" s="1013"/>
      <c r="K132" s="1013"/>
      <c r="L132" s="246"/>
      <c r="M132" s="199"/>
      <c r="N132" s="1092"/>
      <c r="Q132" s="182"/>
      <c r="R132" s="182"/>
      <c r="S132" s="182"/>
      <c r="T132" s="182"/>
      <c r="U132" s="182"/>
      <c r="V132" s="182"/>
    </row>
    <row r="133" spans="1:22" ht="13.9" customHeight="1" thickBot="1">
      <c r="A133" s="1090"/>
      <c r="B133" s="713" t="s">
        <v>59</v>
      </c>
      <c r="C133" s="253"/>
      <c r="D133" s="201" t="str">
        <f>D$2</f>
        <v>Baseline (Jun-2021)</v>
      </c>
      <c r="E133" s="139">
        <f t="shared" ref="E133:K133" si="22">E$2</f>
        <v>44742</v>
      </c>
      <c r="F133" s="139">
        <f t="shared" si="22"/>
        <v>45107</v>
      </c>
      <c r="G133" s="139">
        <f t="shared" si="22"/>
        <v>45381</v>
      </c>
      <c r="H133" s="139">
        <f t="shared" si="22"/>
        <v>45746</v>
      </c>
      <c r="I133" s="139">
        <f t="shared" si="22"/>
        <v>46111</v>
      </c>
      <c r="J133" s="254">
        <f t="shared" si="22"/>
        <v>46476</v>
      </c>
      <c r="K133" s="140">
        <f t="shared" si="22"/>
        <v>46752</v>
      </c>
      <c r="L133" s="189"/>
      <c r="M133" s="189"/>
      <c r="N133" s="1092"/>
    </row>
    <row r="134" spans="1:22" ht="24.6" customHeight="1" thickBot="1">
      <c r="A134" s="1090"/>
      <c r="B134" s="1096" t="s">
        <v>60</v>
      </c>
      <c r="C134" s="897" t="s">
        <v>29</v>
      </c>
      <c r="D134" s="901"/>
      <c r="E134" s="901"/>
      <c r="F134" s="901"/>
      <c r="G134" s="902" t="e">
        <f>#REF!</f>
        <v>#REF!</v>
      </c>
      <c r="H134" s="902">
        <f>'Green Growth Facility'!G65</f>
        <v>0</v>
      </c>
      <c r="I134" s="902">
        <f>'Green Growth Facility'!H65</f>
        <v>130843</v>
      </c>
      <c r="J134" s="902">
        <f>'Green Growth Facility'!I65</f>
        <v>357470</v>
      </c>
      <c r="K134" s="902">
        <f>'Green Growth Facility'!J65</f>
        <v>750000</v>
      </c>
      <c r="L134" s="274"/>
      <c r="M134" s="1058" t="s">
        <v>61</v>
      </c>
      <c r="N134" s="1093"/>
      <c r="Q134" s="182"/>
      <c r="R134" s="182"/>
      <c r="S134" s="182"/>
      <c r="T134" s="182"/>
      <c r="U134" s="182"/>
      <c r="V134" s="182"/>
    </row>
    <row r="135" spans="1:22" ht="24.6" customHeight="1" thickBot="1">
      <c r="A135" s="1090"/>
      <c r="B135" s="1097"/>
      <c r="C135" s="838" t="s">
        <v>31</v>
      </c>
      <c r="D135" s="839"/>
      <c r="E135" s="839"/>
      <c r="F135" s="839"/>
      <c r="G135" s="840" t="e">
        <f>#REF!</f>
        <v>#REF!</v>
      </c>
      <c r="H135" s="840">
        <f>'Green Growth Facility'!G66</f>
        <v>219</v>
      </c>
      <c r="I135" s="840">
        <f>'Green Growth Facility'!H66</f>
        <v>0</v>
      </c>
      <c r="J135" s="840">
        <f>'Green Growth Facility'!I66</f>
        <v>0</v>
      </c>
      <c r="K135" s="840">
        <f>'Green Growth Facility'!J66</f>
        <v>0</v>
      </c>
      <c r="L135" s="276"/>
      <c r="M135" s="1059"/>
      <c r="N135" s="1093"/>
      <c r="Q135" s="182"/>
      <c r="R135" s="182"/>
      <c r="S135" s="182"/>
      <c r="T135" s="182"/>
      <c r="U135" s="182"/>
      <c r="V135" s="182"/>
    </row>
    <row r="136" spans="1:22" ht="13.5" customHeight="1" thickBot="1">
      <c r="A136" s="1090"/>
      <c r="B136" s="1097"/>
      <c r="C136" s="1099" t="s">
        <v>18</v>
      </c>
      <c r="D136" s="1100"/>
      <c r="E136" s="1100"/>
      <c r="F136" s="1100"/>
      <c r="G136" s="1100"/>
      <c r="H136" s="1100"/>
      <c r="I136" s="1100"/>
      <c r="J136" s="1100"/>
      <c r="K136" s="1101"/>
      <c r="L136" s="180"/>
      <c r="M136" s="1059"/>
      <c r="N136" s="1093"/>
      <c r="Q136" s="182"/>
      <c r="R136" s="182"/>
      <c r="S136" s="182"/>
      <c r="T136" s="182"/>
      <c r="U136" s="182"/>
      <c r="V136" s="182"/>
    </row>
    <row r="137" spans="1:22" ht="18" customHeight="1" thickBot="1">
      <c r="A137" s="1090"/>
      <c r="B137" s="1098"/>
      <c r="C137" s="1102" t="s">
        <v>62</v>
      </c>
      <c r="D137" s="1103"/>
      <c r="E137" s="1103"/>
      <c r="F137" s="1103"/>
      <c r="G137" s="1103"/>
      <c r="H137" s="1103"/>
      <c r="I137" s="1103"/>
      <c r="J137" s="1103"/>
      <c r="K137" s="1103"/>
      <c r="L137" s="183"/>
      <c r="M137" s="1060"/>
      <c r="N137" s="1093"/>
      <c r="Q137" s="182"/>
      <c r="R137" s="182"/>
      <c r="S137" s="182"/>
      <c r="T137" s="182"/>
      <c r="U137" s="182"/>
      <c r="V137" s="182"/>
    </row>
    <row r="138" spans="1:22" ht="13.9" customHeight="1" thickBot="1">
      <c r="A138" s="1090"/>
      <c r="B138" s="713" t="s">
        <v>63</v>
      </c>
      <c r="C138" s="253"/>
      <c r="D138" s="186" t="str">
        <f>D$2</f>
        <v>Baseline (Jun-2021)</v>
      </c>
      <c r="E138" s="187">
        <f t="shared" ref="E138:K138" si="23">E$2</f>
        <v>44742</v>
      </c>
      <c r="F138" s="187">
        <f t="shared" si="23"/>
        <v>45107</v>
      </c>
      <c r="G138" s="187">
        <f t="shared" si="23"/>
        <v>45381</v>
      </c>
      <c r="H138" s="187">
        <f t="shared" si="23"/>
        <v>45746</v>
      </c>
      <c r="I138" s="187">
        <f t="shared" si="23"/>
        <v>46111</v>
      </c>
      <c r="J138" s="277">
        <f t="shared" si="23"/>
        <v>46476</v>
      </c>
      <c r="K138" s="188">
        <f t="shared" si="23"/>
        <v>46752</v>
      </c>
      <c r="L138" s="189"/>
      <c r="M138" s="189"/>
      <c r="N138" s="1092"/>
    </row>
    <row r="139" spans="1:22" ht="13.9" customHeight="1">
      <c r="A139" s="1090"/>
      <c r="B139" s="1030" t="s">
        <v>64</v>
      </c>
      <c r="C139" s="897" t="s">
        <v>29</v>
      </c>
      <c r="D139" s="899">
        <f t="shared" ref="D139:K139" si="24">SUM(D140:D140)</f>
        <v>0</v>
      </c>
      <c r="E139" s="899">
        <f t="shared" si="24"/>
        <v>0</v>
      </c>
      <c r="F139" s="899">
        <f t="shared" si="24"/>
        <v>0</v>
      </c>
      <c r="G139" s="899" t="e">
        <f t="shared" si="24"/>
        <v>#REF!</v>
      </c>
      <c r="H139" s="899">
        <f t="shared" si="24"/>
        <v>0</v>
      </c>
      <c r="I139" s="899">
        <f t="shared" si="24"/>
        <v>117758.90037623138</v>
      </c>
      <c r="J139" s="899">
        <f t="shared" si="24"/>
        <v>185746.90037623138</v>
      </c>
      <c r="K139" s="913"/>
      <c r="L139" s="170"/>
      <c r="M139" s="785" t="s">
        <v>65</v>
      </c>
      <c r="N139" s="1092"/>
      <c r="P139" s="159"/>
      <c r="Q139" s="190"/>
      <c r="R139" s="190"/>
      <c r="S139" s="190"/>
      <c r="T139" s="190"/>
      <c r="U139" s="190"/>
      <c r="V139" s="190"/>
    </row>
    <row r="140" spans="1:22" ht="33" customHeight="1" outlineLevel="1" thickBot="1">
      <c r="A140" s="1090"/>
      <c r="B140" s="1020"/>
      <c r="C140" s="269" t="s">
        <v>25</v>
      </c>
      <c r="D140" s="270"/>
      <c r="E140" s="271">
        <v>0</v>
      </c>
      <c r="F140" s="271">
        <v>0</v>
      </c>
      <c r="G140" s="271" t="e">
        <f>#REF!</f>
        <v>#REF!</v>
      </c>
      <c r="H140" s="271">
        <f>'Green Growth Facility'!G70</f>
        <v>0</v>
      </c>
      <c r="I140" s="271">
        <f>'Green Growth Facility'!H70</f>
        <v>117758.90037623138</v>
      </c>
      <c r="J140" s="271">
        <f>'Green Growth Facility'!I70</f>
        <v>185746.90037623138</v>
      </c>
      <c r="K140" s="271"/>
      <c r="L140" s="159"/>
      <c r="M140" s="784"/>
      <c r="N140" s="1092"/>
      <c r="Q140" s="144"/>
      <c r="R140" s="144"/>
      <c r="S140" s="144"/>
      <c r="T140" s="145"/>
      <c r="U140" s="145"/>
      <c r="V140" s="145"/>
    </row>
    <row r="141" spans="1:22" ht="13.9" customHeight="1">
      <c r="A141" s="1090"/>
      <c r="B141" s="1020"/>
      <c r="C141" s="831" t="s">
        <v>31</v>
      </c>
      <c r="D141" s="835"/>
      <c r="E141" s="836"/>
      <c r="F141" s="836"/>
      <c r="G141" s="836"/>
      <c r="H141" s="836">
        <f>SUM(H142:H142)</f>
        <v>345163</v>
      </c>
      <c r="I141" s="836"/>
      <c r="J141" s="836"/>
      <c r="K141" s="837"/>
      <c r="L141" s="170"/>
      <c r="M141" s="784"/>
      <c r="N141" s="1092"/>
      <c r="Q141" s="182"/>
      <c r="R141" s="182"/>
      <c r="S141" s="182"/>
      <c r="T141" s="182"/>
      <c r="U141" s="182"/>
      <c r="V141" s="182"/>
    </row>
    <row r="142" spans="1:22" ht="13.9" customHeight="1" outlineLevel="1" thickBot="1">
      <c r="A142" s="1090"/>
      <c r="B142" s="1020"/>
      <c r="C142" s="278" t="s">
        <v>25</v>
      </c>
      <c r="D142" s="279"/>
      <c r="E142" s="280"/>
      <c r="F142" s="280"/>
      <c r="G142" s="280" t="e">
        <f>#REF!</f>
        <v>#REF!</v>
      </c>
      <c r="H142" s="280">
        <f>'Green Growth Facility'!G71</f>
        <v>345163</v>
      </c>
      <c r="I142" s="280">
        <f>'Green Growth Facility'!H71</f>
        <v>0</v>
      </c>
      <c r="J142" s="280">
        <f>'Green Growth Facility'!I71</f>
        <v>0</v>
      </c>
      <c r="K142" s="280">
        <f>'Green Growth Facility'!J71</f>
        <v>0</v>
      </c>
      <c r="L142" s="981">
        <f>'Green Growth Facility'!K71</f>
        <v>0</v>
      </c>
      <c r="M142" s="981">
        <f>'Green Growth Facility'!L71</f>
        <v>0</v>
      </c>
      <c r="N142" s="1092"/>
      <c r="Q142" s="144"/>
      <c r="R142" s="144"/>
      <c r="S142" s="144"/>
      <c r="T142" s="145"/>
      <c r="U142" s="145"/>
      <c r="V142" s="145"/>
    </row>
    <row r="143" spans="1:22" ht="13.9" customHeight="1" thickBot="1">
      <c r="A143" s="1090"/>
      <c r="B143" s="1020"/>
      <c r="C143" s="1022" t="s">
        <v>18</v>
      </c>
      <c r="D143" s="1023"/>
      <c r="E143" s="1023"/>
      <c r="F143" s="1023"/>
      <c r="G143" s="1023"/>
      <c r="H143" s="1023"/>
      <c r="I143" s="1023"/>
      <c r="J143" s="1023"/>
      <c r="K143" s="1023"/>
      <c r="L143" s="1023"/>
      <c r="M143" s="1024"/>
      <c r="N143" s="1092"/>
      <c r="Q143" s="182"/>
      <c r="R143" s="182"/>
      <c r="S143" s="182"/>
      <c r="T143" s="182"/>
      <c r="U143" s="182"/>
      <c r="V143" s="182"/>
    </row>
    <row r="144" spans="1:22" ht="13.9" customHeight="1" thickBot="1">
      <c r="A144" s="1090"/>
      <c r="B144" s="1021"/>
      <c r="C144" s="1012" t="s">
        <v>19</v>
      </c>
      <c r="D144" s="1013"/>
      <c r="E144" s="1013"/>
      <c r="F144" s="1013"/>
      <c r="G144" s="1013"/>
      <c r="H144" s="1013"/>
      <c r="I144" s="1013"/>
      <c r="J144" s="1013"/>
      <c r="K144" s="1013"/>
      <c r="L144" s="183"/>
      <c r="M144" s="183"/>
      <c r="N144" s="1094"/>
      <c r="Q144" s="182"/>
      <c r="R144" s="182"/>
      <c r="S144" s="182"/>
      <c r="T144" s="182"/>
      <c r="U144" s="182"/>
      <c r="V144" s="182"/>
    </row>
    <row r="145" spans="1:22" ht="13.9" customHeight="1" thickBot="1">
      <c r="A145" s="1090"/>
      <c r="B145" s="713" t="s">
        <v>66</v>
      </c>
      <c r="C145" s="253"/>
      <c r="D145" s="281"/>
      <c r="E145" s="187"/>
      <c r="F145" s="187"/>
      <c r="G145" s="187"/>
      <c r="H145" s="187"/>
      <c r="I145" s="187"/>
      <c r="J145" s="277"/>
      <c r="K145" s="188"/>
      <c r="L145" s="189"/>
      <c r="M145" s="1017" t="s">
        <v>67</v>
      </c>
      <c r="N145" s="282"/>
      <c r="Q145" s="182"/>
      <c r="R145" s="182"/>
      <c r="S145" s="182"/>
      <c r="T145" s="182"/>
      <c r="U145" s="182"/>
      <c r="V145" s="182"/>
    </row>
    <row r="146" spans="1:22" ht="26.25" customHeight="1">
      <c r="A146" s="728"/>
      <c r="B146" s="1019" t="s">
        <v>68</v>
      </c>
      <c r="C146" s="903" t="s">
        <v>29</v>
      </c>
      <c r="D146" s="904"/>
      <c r="E146" s="905" t="s">
        <v>69</v>
      </c>
      <c r="F146" s="905" t="s">
        <v>70</v>
      </c>
      <c r="G146" s="906"/>
      <c r="H146" s="906">
        <f>'Green Growth Facility'!G75</f>
        <v>0</v>
      </c>
      <c r="I146" s="906">
        <f>'Green Growth Facility'!H75</f>
        <v>0</v>
      </c>
      <c r="J146" s="906">
        <f>'Green Growth Facility'!I75</f>
        <v>1</v>
      </c>
      <c r="K146" s="906">
        <f>'Green Growth Facility'!J75</f>
        <v>3</v>
      </c>
      <c r="L146" s="135"/>
      <c r="M146" s="1018"/>
      <c r="N146" s="282"/>
      <c r="Q146" s="182"/>
      <c r="R146" s="182"/>
      <c r="S146" s="182"/>
      <c r="T146" s="182"/>
      <c r="U146" s="182"/>
      <c r="V146" s="182"/>
    </row>
    <row r="147" spans="1:22" ht="24.75" customHeight="1" thickBot="1">
      <c r="A147" s="728"/>
      <c r="B147" s="1020"/>
      <c r="C147" s="841" t="s">
        <v>31</v>
      </c>
      <c r="D147" s="839"/>
      <c r="E147" s="839"/>
      <c r="F147" s="839"/>
      <c r="G147" s="842" t="s">
        <v>69</v>
      </c>
      <c r="H147" s="842">
        <f>'Green Growth Facility'!G76</f>
        <v>0</v>
      </c>
      <c r="I147" s="842">
        <f>'Green Growth Facility'!H76</f>
        <v>0</v>
      </c>
      <c r="J147" s="842">
        <f>'Green Growth Facility'!I76</f>
        <v>0</v>
      </c>
      <c r="K147" s="842">
        <f>'Green Growth Facility'!J76</f>
        <v>0</v>
      </c>
      <c r="L147" s="135"/>
      <c r="M147" s="1018"/>
      <c r="N147" s="282"/>
      <c r="Q147" s="182"/>
      <c r="R147" s="182"/>
      <c r="S147" s="182"/>
      <c r="T147" s="182"/>
      <c r="U147" s="182"/>
      <c r="V147" s="182"/>
    </row>
    <row r="148" spans="1:22" ht="24.95" customHeight="1" thickBot="1">
      <c r="A148" s="728"/>
      <c r="B148" s="1021"/>
      <c r="C148" s="1022" t="s">
        <v>71</v>
      </c>
      <c r="D148" s="1023"/>
      <c r="E148" s="1023"/>
      <c r="F148" s="1023"/>
      <c r="G148" s="1023"/>
      <c r="H148" s="1023"/>
      <c r="I148" s="1023"/>
      <c r="J148" s="1023"/>
      <c r="K148" s="1023"/>
      <c r="L148" s="1023"/>
      <c r="M148" s="1024"/>
      <c r="N148" s="282"/>
      <c r="Q148" s="182"/>
      <c r="R148" s="182"/>
      <c r="S148" s="182"/>
      <c r="T148" s="182"/>
      <c r="U148" s="182"/>
      <c r="V148" s="182"/>
    </row>
    <row r="149" spans="1:22" ht="13.5" thickBot="1">
      <c r="A149" s="728"/>
      <c r="B149" s="713" t="s">
        <v>72</v>
      </c>
      <c r="C149" s="253"/>
      <c r="D149" s="281"/>
      <c r="E149" s="187"/>
      <c r="F149" s="187"/>
      <c r="G149" s="187"/>
      <c r="H149" s="187"/>
      <c r="I149" s="187"/>
      <c r="J149" s="277"/>
      <c r="K149" s="188"/>
      <c r="L149" s="189"/>
      <c r="M149" s="1073" t="s">
        <v>61</v>
      </c>
      <c r="N149" s="282"/>
      <c r="Q149" s="182"/>
      <c r="R149" s="182"/>
      <c r="S149" s="182"/>
      <c r="T149" s="182"/>
      <c r="U149" s="182"/>
      <c r="V149" s="182"/>
    </row>
    <row r="150" spans="1:22" ht="18.600000000000001" customHeight="1">
      <c r="A150" s="728"/>
      <c r="B150" s="1025" t="s">
        <v>73</v>
      </c>
      <c r="C150" s="907" t="s">
        <v>29</v>
      </c>
      <c r="D150" s="908">
        <v>0</v>
      </c>
      <c r="E150" s="908"/>
      <c r="F150" s="908"/>
      <c r="G150" s="909">
        <v>0</v>
      </c>
      <c r="H150" s="909">
        <f>'Green Growth Facility'!G57</f>
        <v>2</v>
      </c>
      <c r="I150" s="909">
        <f>'Green Growth Facility'!H57</f>
        <v>5</v>
      </c>
      <c r="J150" s="909">
        <f>'Green Growth Facility'!I57</f>
        <v>8</v>
      </c>
      <c r="K150" s="909">
        <f>'Green Growth Facility'!J57</f>
        <v>10</v>
      </c>
      <c r="L150" s="170"/>
      <c r="M150" s="1074"/>
      <c r="N150" s="282"/>
      <c r="Q150" s="182"/>
      <c r="R150" s="182"/>
      <c r="S150" s="182"/>
      <c r="T150" s="182"/>
      <c r="U150" s="182"/>
      <c r="V150" s="182"/>
    </row>
    <row r="151" spans="1:22" ht="18.600000000000001" customHeight="1">
      <c r="A151" s="728"/>
      <c r="B151" s="1026"/>
      <c r="C151" s="839" t="s">
        <v>31</v>
      </c>
      <c r="D151" s="843"/>
      <c r="E151" s="843"/>
      <c r="F151" s="843"/>
      <c r="G151" s="843"/>
      <c r="H151" s="845">
        <f>'Green Growth Facility'!G60</f>
        <v>3</v>
      </c>
      <c r="I151" s="853">
        <f>'Green Growth Facility'!H60</f>
        <v>0</v>
      </c>
      <c r="J151" s="853">
        <f>'Green Growth Facility'!I60</f>
        <v>0</v>
      </c>
      <c r="K151" s="853">
        <f>'Green Growth Facility'!J60</f>
        <v>0</v>
      </c>
      <c r="L151" s="283"/>
      <c r="M151" s="1074"/>
      <c r="N151" s="282"/>
      <c r="Q151" s="182"/>
      <c r="R151" s="182"/>
      <c r="S151" s="182"/>
      <c r="T151" s="182"/>
      <c r="U151" s="182"/>
      <c r="V151" s="182"/>
    </row>
    <row r="152" spans="1:22" ht="32.25" customHeight="1" thickBot="1">
      <c r="A152" s="728"/>
      <c r="B152" s="1026"/>
      <c r="C152" s="1027" t="s">
        <v>74</v>
      </c>
      <c r="D152" s="1028"/>
      <c r="E152" s="1028"/>
      <c r="F152" s="1028"/>
      <c r="G152" s="1028"/>
      <c r="H152" s="1028"/>
      <c r="I152" s="1028"/>
      <c r="J152" s="1028"/>
      <c r="K152" s="1028"/>
      <c r="L152" s="246"/>
      <c r="M152" s="1074"/>
      <c r="N152" s="282"/>
      <c r="Q152" s="182"/>
      <c r="R152" s="182"/>
      <c r="S152" s="182"/>
      <c r="T152" s="182"/>
      <c r="U152" s="182"/>
      <c r="V152" s="182"/>
    </row>
    <row r="153" spans="1:22" ht="13.5" thickBot="1">
      <c r="A153" s="727" t="s">
        <v>75</v>
      </c>
      <c r="B153" s="715" t="s">
        <v>76</v>
      </c>
      <c r="C153" s="185"/>
      <c r="D153" s="281" t="str">
        <f>D$2</f>
        <v>Baseline (Jun-2021)</v>
      </c>
      <c r="E153" s="187">
        <f t="shared" ref="E153:K153" si="25">E$2</f>
        <v>44742</v>
      </c>
      <c r="F153" s="187">
        <f t="shared" si="25"/>
        <v>45107</v>
      </c>
      <c r="G153" s="187">
        <f t="shared" si="25"/>
        <v>45381</v>
      </c>
      <c r="H153" s="187">
        <f t="shared" si="25"/>
        <v>45746</v>
      </c>
      <c r="I153" s="187">
        <f t="shared" si="25"/>
        <v>46111</v>
      </c>
      <c r="J153" s="188">
        <f t="shared" si="25"/>
        <v>46476</v>
      </c>
      <c r="K153" s="277">
        <f t="shared" si="25"/>
        <v>46752</v>
      </c>
      <c r="L153" s="284"/>
      <c r="M153" s="284"/>
      <c r="N153" s="212" t="s">
        <v>35</v>
      </c>
    </row>
    <row r="154" spans="1:22" ht="12.95">
      <c r="A154" s="1068" t="s">
        <v>77</v>
      </c>
      <c r="B154" s="1032" t="s">
        <v>78</v>
      </c>
      <c r="C154" s="897" t="s">
        <v>29</v>
      </c>
      <c r="D154" s="1071" t="s">
        <v>79</v>
      </c>
      <c r="E154" s="1071"/>
      <c r="F154" s="899" t="s">
        <v>80</v>
      </c>
      <c r="G154" s="899" t="s">
        <v>80</v>
      </c>
      <c r="H154" s="982" t="s">
        <v>80</v>
      </c>
      <c r="I154" s="982" t="s">
        <v>80</v>
      </c>
      <c r="J154" s="982"/>
      <c r="K154" s="910"/>
      <c r="L154" s="285"/>
      <c r="M154" s="285"/>
      <c r="N154" s="1048" t="s">
        <v>81</v>
      </c>
    </row>
    <row r="155" spans="1:22" ht="13.5" thickBot="1">
      <c r="A155" s="1069"/>
      <c r="B155" s="1034"/>
      <c r="C155" s="286" t="s">
        <v>31</v>
      </c>
      <c r="D155" s="287"/>
      <c r="E155" s="288" t="s">
        <v>82</v>
      </c>
      <c r="F155" s="288" t="s">
        <v>80</v>
      </c>
      <c r="G155" s="288" t="s">
        <v>80</v>
      </c>
      <c r="H155" s="983" t="s">
        <v>80</v>
      </c>
      <c r="I155" s="983" t="s">
        <v>80</v>
      </c>
      <c r="J155" s="983"/>
      <c r="K155" s="289"/>
      <c r="L155" s="285"/>
      <c r="M155" s="285"/>
      <c r="N155" s="1048"/>
    </row>
    <row r="156" spans="1:22" ht="13.5" thickBot="1">
      <c r="A156" s="1069"/>
      <c r="B156" s="717" t="s">
        <v>83</v>
      </c>
      <c r="C156" s="1000" t="s">
        <v>18</v>
      </c>
      <c r="D156" s="1001"/>
      <c r="E156" s="1001"/>
      <c r="F156" s="1001"/>
      <c r="G156" s="1001"/>
      <c r="H156" s="1001"/>
      <c r="I156" s="1001"/>
      <c r="J156" s="1001"/>
      <c r="K156" s="1002"/>
      <c r="L156" s="181"/>
      <c r="M156" s="181"/>
      <c r="N156" s="1048"/>
    </row>
    <row r="157" spans="1:22" ht="12.95" thickBot="1">
      <c r="A157" s="1069"/>
      <c r="B157" s="718">
        <v>0</v>
      </c>
      <c r="C157" s="993" t="s">
        <v>84</v>
      </c>
      <c r="D157" s="994"/>
      <c r="E157" s="994"/>
      <c r="F157" s="994"/>
      <c r="G157" s="994"/>
      <c r="H157" s="994"/>
      <c r="I157" s="994"/>
      <c r="J157" s="994"/>
      <c r="K157" s="995"/>
      <c r="L157" s="267"/>
      <c r="M157" s="267"/>
      <c r="N157" s="1048"/>
    </row>
    <row r="158" spans="1:22" ht="13.5" thickBot="1">
      <c r="A158" s="1069"/>
      <c r="B158" s="713" t="s">
        <v>85</v>
      </c>
      <c r="C158" s="253"/>
      <c r="D158" s="138" t="str">
        <f>D$2</f>
        <v>Baseline (Jun-2021)</v>
      </c>
      <c r="E158" s="139">
        <f t="shared" ref="E158:K158" si="26">E$2</f>
        <v>44742</v>
      </c>
      <c r="F158" s="139">
        <f t="shared" si="26"/>
        <v>45107</v>
      </c>
      <c r="G158" s="139">
        <f t="shared" si="26"/>
        <v>45381</v>
      </c>
      <c r="H158" s="139">
        <f t="shared" si="26"/>
        <v>45746</v>
      </c>
      <c r="I158" s="139">
        <f t="shared" si="26"/>
        <v>46111</v>
      </c>
      <c r="J158" s="254">
        <f t="shared" si="26"/>
        <v>46476</v>
      </c>
      <c r="K158" s="254">
        <f t="shared" si="26"/>
        <v>46752</v>
      </c>
      <c r="L158" s="284"/>
      <c r="M158" s="284"/>
      <c r="N158" s="1048"/>
    </row>
    <row r="159" spans="1:22" ht="13.5" thickBot="1">
      <c r="A159" s="1069"/>
      <c r="B159" s="1032" t="s">
        <v>86</v>
      </c>
      <c r="C159" s="897" t="s">
        <v>29</v>
      </c>
      <c r="D159" s="911"/>
      <c r="E159" s="911">
        <v>4</v>
      </c>
      <c r="F159" s="911">
        <v>14</v>
      </c>
      <c r="G159" s="911">
        <v>34</v>
      </c>
      <c r="H159" s="911">
        <f>'Aceli Africa'!N58</f>
        <v>51</v>
      </c>
      <c r="I159" s="911">
        <v>51</v>
      </c>
      <c r="J159" s="911">
        <v>61</v>
      </c>
      <c r="K159" s="911">
        <v>61</v>
      </c>
      <c r="L159" s="285"/>
      <c r="M159" s="1014" t="s">
        <v>87</v>
      </c>
      <c r="N159" s="1048"/>
    </row>
    <row r="160" spans="1:22" ht="39">
      <c r="A160" s="1069"/>
      <c r="B160" s="1033"/>
      <c r="C160" s="850" t="s">
        <v>88</v>
      </c>
      <c r="D160" s="849"/>
      <c r="E160" s="848">
        <v>1.2</v>
      </c>
      <c r="F160" s="848">
        <v>4.2</v>
      </c>
      <c r="G160" s="848">
        <v>11.899999999999999</v>
      </c>
      <c r="H160" s="847">
        <f>'Aceli Africa'!N59</f>
        <v>17.849999999999998</v>
      </c>
      <c r="I160" s="848">
        <v>17.849999999999998</v>
      </c>
      <c r="J160" s="848">
        <v>21.349999999999998</v>
      </c>
      <c r="K160" s="848">
        <v>21.349999999999998</v>
      </c>
      <c r="L160" s="294"/>
      <c r="M160" s="1014"/>
      <c r="N160" s="1048"/>
    </row>
    <row r="161" spans="1:14" ht="12.95">
      <c r="A161" s="1069"/>
      <c r="B161" s="1033"/>
      <c r="C161" s="851" t="s">
        <v>31</v>
      </c>
      <c r="D161" s="852"/>
      <c r="E161" s="852">
        <v>4</v>
      </c>
      <c r="F161" s="852"/>
      <c r="G161" s="852">
        <v>46</v>
      </c>
      <c r="H161" s="852">
        <f>'Aceli Africa'!N60</f>
        <v>63</v>
      </c>
      <c r="I161" s="852"/>
      <c r="J161" s="853"/>
      <c r="K161" s="854"/>
      <c r="L161" s="285"/>
      <c r="M161" s="1014"/>
      <c r="N161" s="1048"/>
    </row>
    <row r="162" spans="1:14" ht="39.6" thickBot="1">
      <c r="A162" s="1069"/>
      <c r="B162" s="1034"/>
      <c r="C162" s="296" t="s">
        <v>88</v>
      </c>
      <c r="D162" s="297"/>
      <c r="E162" s="298">
        <v>0</v>
      </c>
      <c r="F162" s="298"/>
      <c r="G162" s="298">
        <v>18</v>
      </c>
      <c r="H162" s="295">
        <f>'Aceli Africa'!N61</f>
        <v>26</v>
      </c>
      <c r="I162" s="298"/>
      <c r="J162" s="299"/>
      <c r="K162" s="300"/>
      <c r="L162" s="294"/>
      <c r="M162" s="1014"/>
      <c r="N162" s="1048"/>
    </row>
    <row r="163" spans="1:14" ht="13.5" thickBot="1">
      <c r="A163" s="1069"/>
      <c r="B163" s="717" t="s">
        <v>83</v>
      </c>
      <c r="C163" s="1022" t="s">
        <v>18</v>
      </c>
      <c r="D163" s="1023"/>
      <c r="E163" s="1023"/>
      <c r="F163" s="1023"/>
      <c r="G163" s="1023"/>
      <c r="H163" s="1023"/>
      <c r="I163" s="1023"/>
      <c r="J163" s="1023"/>
      <c r="K163" s="1024"/>
      <c r="L163" s="181"/>
      <c r="M163" s="204"/>
      <c r="N163" s="1048"/>
    </row>
    <row r="164" spans="1:14" ht="12.95" thickBot="1">
      <c r="A164" s="1069"/>
      <c r="B164" s="718">
        <v>0.2</v>
      </c>
      <c r="C164" s="993" t="s">
        <v>84</v>
      </c>
      <c r="D164" s="994"/>
      <c r="E164" s="994"/>
      <c r="F164" s="994"/>
      <c r="G164" s="994"/>
      <c r="H164" s="994"/>
      <c r="I164" s="994"/>
      <c r="J164" s="994"/>
      <c r="K164" s="995"/>
      <c r="L164" s="267"/>
      <c r="M164" s="267"/>
      <c r="N164" s="1048"/>
    </row>
    <row r="165" spans="1:14" ht="13.5" thickBot="1">
      <c r="A165" s="1069"/>
      <c r="B165" s="588" t="s">
        <v>89</v>
      </c>
      <c r="C165" s="574"/>
      <c r="D165" s="575" t="str">
        <f>D$2</f>
        <v>Baseline (Jun-2021)</v>
      </c>
      <c r="E165" s="576">
        <f t="shared" ref="E165:K165" si="27">E$2</f>
        <v>44742</v>
      </c>
      <c r="F165" s="576">
        <f t="shared" si="27"/>
        <v>45107</v>
      </c>
      <c r="G165" s="576">
        <f t="shared" si="27"/>
        <v>45381</v>
      </c>
      <c r="H165" s="576">
        <f t="shared" si="27"/>
        <v>45746</v>
      </c>
      <c r="I165" s="576">
        <f t="shared" si="27"/>
        <v>46111</v>
      </c>
      <c r="J165" s="576">
        <f t="shared" si="27"/>
        <v>46476</v>
      </c>
      <c r="K165" s="576">
        <f t="shared" si="27"/>
        <v>46752</v>
      </c>
      <c r="L165" s="267"/>
      <c r="M165" s="267"/>
      <c r="N165" s="1048"/>
    </row>
    <row r="166" spans="1:14" ht="13.5" customHeight="1" thickBot="1">
      <c r="A166" s="1069"/>
      <c r="B166" s="1075" t="s">
        <v>90</v>
      </c>
      <c r="C166" s="573" t="s">
        <v>29</v>
      </c>
      <c r="D166" s="273"/>
      <c r="E166" s="275"/>
      <c r="F166" s="275"/>
      <c r="G166" s="490">
        <v>0</v>
      </c>
      <c r="H166" s="733">
        <f>'Aceli Africa'!N65</f>
        <v>0.7</v>
      </c>
      <c r="I166" s="490">
        <v>0</v>
      </c>
      <c r="J166" s="491">
        <v>0.7</v>
      </c>
      <c r="K166" s="492"/>
      <c r="L166" s="493"/>
      <c r="M166" s="478">
        <f>IF(L166,0,K166)</f>
        <v>0</v>
      </c>
      <c r="N166" s="1048"/>
    </row>
    <row r="167" spans="1:14" ht="13.5" thickBot="1">
      <c r="A167" s="1069"/>
      <c r="B167" s="1075"/>
      <c r="C167" s="855" t="s">
        <v>31</v>
      </c>
      <c r="D167" s="856"/>
      <c r="E167" s="839"/>
      <c r="F167" s="839"/>
      <c r="G167" s="857">
        <v>0</v>
      </c>
      <c r="H167" s="858">
        <f>'Aceli Africa'!N66</f>
        <v>0.89</v>
      </c>
      <c r="I167" s="857">
        <v>0</v>
      </c>
      <c r="J167" s="859"/>
      <c r="K167" s="857"/>
      <c r="L167" s="494"/>
      <c r="M167" s="494"/>
      <c r="N167" s="1048"/>
    </row>
    <row r="168" spans="1:14" ht="13.5" thickBot="1">
      <c r="A168" s="1069"/>
      <c r="B168" s="717" t="s">
        <v>83</v>
      </c>
      <c r="C168" s="1022" t="s">
        <v>18</v>
      </c>
      <c r="D168" s="1023"/>
      <c r="E168" s="1023"/>
      <c r="F168" s="1023"/>
      <c r="G168" s="1023"/>
      <c r="H168" s="1023"/>
      <c r="I168" s="1023"/>
      <c r="J168" s="1023"/>
      <c r="K168" s="1024"/>
      <c r="L168" s="181"/>
      <c r="M168" s="204"/>
      <c r="N168" s="1048"/>
    </row>
    <row r="169" spans="1:14" ht="12.95" thickBot="1">
      <c r="A169" s="1069"/>
      <c r="B169" s="590">
        <v>0.2</v>
      </c>
      <c r="C169" s="1055" t="s">
        <v>84</v>
      </c>
      <c r="D169" s="1056"/>
      <c r="E169" s="1056"/>
      <c r="F169" s="1056"/>
      <c r="G169" s="1056"/>
      <c r="H169" s="1056"/>
      <c r="I169" s="1056"/>
      <c r="J169" s="1056"/>
      <c r="K169" s="1057"/>
      <c r="L169" s="267"/>
      <c r="M169" s="267"/>
      <c r="N169" s="1048"/>
    </row>
    <row r="170" spans="1:14" ht="13.5" thickBot="1">
      <c r="A170" s="1069"/>
      <c r="B170" s="713" t="s">
        <v>91</v>
      </c>
      <c r="C170" s="253"/>
      <c r="D170" s="201" t="str">
        <f>D$2</f>
        <v>Baseline (Jun-2021)</v>
      </c>
      <c r="E170" s="139">
        <f t="shared" ref="E170:K170" si="28">E$2</f>
        <v>44742</v>
      </c>
      <c r="F170" s="139">
        <f t="shared" si="28"/>
        <v>45107</v>
      </c>
      <c r="G170" s="139">
        <f t="shared" si="28"/>
        <v>45381</v>
      </c>
      <c r="H170" s="139">
        <f t="shared" si="28"/>
        <v>45746</v>
      </c>
      <c r="I170" s="139">
        <f t="shared" si="28"/>
        <v>46111</v>
      </c>
      <c r="J170" s="254">
        <f t="shared" si="28"/>
        <v>46476</v>
      </c>
      <c r="K170" s="254">
        <f t="shared" si="28"/>
        <v>46752</v>
      </c>
      <c r="L170" s="284"/>
      <c r="M170" s="284"/>
      <c r="N170" s="1048"/>
    </row>
    <row r="171" spans="1:14" ht="20.100000000000001" customHeight="1" thickBot="1">
      <c r="A171" s="1069"/>
      <c r="B171" s="1042" t="s">
        <v>92</v>
      </c>
      <c r="C171" s="897" t="s">
        <v>29</v>
      </c>
      <c r="D171" s="899"/>
      <c r="E171" s="899">
        <v>7</v>
      </c>
      <c r="F171" s="899">
        <v>9</v>
      </c>
      <c r="G171" s="899">
        <v>10</v>
      </c>
      <c r="H171" s="899">
        <f>'Aceli Africa'!N70</f>
        <v>12</v>
      </c>
      <c r="I171" s="899">
        <v>12</v>
      </c>
      <c r="J171" s="899">
        <v>12</v>
      </c>
      <c r="K171" s="899">
        <v>12</v>
      </c>
      <c r="L171" s="285"/>
      <c r="M171" s="1014" t="s">
        <v>87</v>
      </c>
      <c r="N171" s="1048"/>
    </row>
    <row r="172" spans="1:14" ht="20.100000000000001" customHeight="1" thickBot="1">
      <c r="A172" s="1069"/>
      <c r="B172" s="1043"/>
      <c r="C172" s="860" t="s">
        <v>31</v>
      </c>
      <c r="D172" s="856"/>
      <c r="E172" s="824">
        <v>7</v>
      </c>
      <c r="F172" s="824"/>
      <c r="G172" s="824"/>
      <c r="H172" s="836">
        <f>'Aceli Africa'!N71</f>
        <v>11</v>
      </c>
      <c r="I172" s="824"/>
      <c r="J172" s="824"/>
      <c r="K172" s="861"/>
      <c r="L172" s="285"/>
      <c r="M172" s="1015"/>
      <c r="N172" s="1048"/>
    </row>
    <row r="173" spans="1:14" ht="13.5" thickBot="1">
      <c r="A173" s="1069"/>
      <c r="B173" s="717" t="s">
        <v>83</v>
      </c>
      <c r="C173" s="1022" t="s">
        <v>18</v>
      </c>
      <c r="D173" s="1023"/>
      <c r="E173" s="1023"/>
      <c r="F173" s="1023"/>
      <c r="G173" s="1023"/>
      <c r="H173" s="1023"/>
      <c r="I173" s="1023"/>
      <c r="J173" s="1023"/>
      <c r="K173" s="1024"/>
      <c r="L173" s="181"/>
      <c r="M173" s="204"/>
      <c r="N173" s="1048"/>
    </row>
    <row r="174" spans="1:14" ht="13.5" customHeight="1">
      <c r="A174" s="1069"/>
      <c r="B174" s="719">
        <v>0.2</v>
      </c>
      <c r="C174" s="1055" t="s">
        <v>84</v>
      </c>
      <c r="D174" s="1056"/>
      <c r="E174" s="1056"/>
      <c r="F174" s="1056"/>
      <c r="G174" s="1056"/>
      <c r="H174" s="1056"/>
      <c r="I174" s="1056"/>
      <c r="J174" s="1056"/>
      <c r="K174" s="1057"/>
      <c r="L174" s="267"/>
      <c r="M174" s="267"/>
      <c r="N174" s="1048"/>
    </row>
    <row r="175" spans="1:14" ht="13.5" thickBot="1">
      <c r="A175" s="1069"/>
      <c r="B175" s="713" t="s">
        <v>93</v>
      </c>
      <c r="C175" s="253"/>
      <c r="D175" s="186" t="str">
        <f>D$2</f>
        <v>Baseline (Jun-2021)</v>
      </c>
      <c r="E175" s="187">
        <f t="shared" ref="E175:K175" si="29">E$2</f>
        <v>44742</v>
      </c>
      <c r="F175" s="187">
        <f t="shared" si="29"/>
        <v>45107</v>
      </c>
      <c r="G175" s="187">
        <f t="shared" si="29"/>
        <v>45381</v>
      </c>
      <c r="H175" s="187">
        <f t="shared" si="29"/>
        <v>45746</v>
      </c>
      <c r="I175" s="187">
        <f t="shared" si="29"/>
        <v>46111</v>
      </c>
      <c r="J175" s="277">
        <f t="shared" si="29"/>
        <v>46476</v>
      </c>
      <c r="K175" s="277">
        <f t="shared" si="29"/>
        <v>46752</v>
      </c>
      <c r="L175" s="284"/>
      <c r="M175" s="284"/>
      <c r="N175" s="1048"/>
    </row>
    <row r="176" spans="1:14" ht="20.100000000000001" customHeight="1" thickBot="1">
      <c r="A176" s="1069"/>
      <c r="B176" s="1042" t="s">
        <v>94</v>
      </c>
      <c r="C176" s="912" t="s">
        <v>29</v>
      </c>
      <c r="D176" s="913"/>
      <c r="E176" s="913">
        <v>0</v>
      </c>
      <c r="F176" s="913">
        <v>1</v>
      </c>
      <c r="G176" s="913">
        <v>1</v>
      </c>
      <c r="H176" s="913">
        <f>'Aceli Africa'!N75</f>
        <v>2</v>
      </c>
      <c r="I176" s="913">
        <v>4</v>
      </c>
      <c r="J176" s="913">
        <v>4</v>
      </c>
      <c r="K176" s="899">
        <v>0</v>
      </c>
      <c r="L176" s="285"/>
      <c r="M176" s="1016" t="s">
        <v>87</v>
      </c>
      <c r="N176" s="1048"/>
    </row>
    <row r="177" spans="1:14" ht="20.100000000000001" customHeight="1" thickBot="1">
      <c r="A177" s="1069"/>
      <c r="B177" s="1043"/>
      <c r="C177" s="862" t="s">
        <v>31</v>
      </c>
      <c r="D177" s="863"/>
      <c r="E177" s="864">
        <v>0</v>
      </c>
      <c r="F177" s="864"/>
      <c r="G177" s="864"/>
      <c r="H177" s="865">
        <f>'Aceli Africa'!N76</f>
        <v>2</v>
      </c>
      <c r="I177" s="864"/>
      <c r="J177" s="864"/>
      <c r="K177" s="861"/>
      <c r="L177" s="285"/>
      <c r="M177" s="1015"/>
      <c r="N177" s="1048"/>
    </row>
    <row r="178" spans="1:14" ht="13.5" thickBot="1">
      <c r="A178" s="1069"/>
      <c r="B178" s="717" t="s">
        <v>83</v>
      </c>
      <c r="C178" s="1022" t="s">
        <v>18</v>
      </c>
      <c r="D178" s="1023"/>
      <c r="E178" s="1023"/>
      <c r="F178" s="1023"/>
      <c r="G178" s="1023"/>
      <c r="H178" s="1023"/>
      <c r="I178" s="1023"/>
      <c r="J178" s="1023"/>
      <c r="K178" s="1024"/>
      <c r="L178" s="181"/>
      <c r="M178" s="204"/>
      <c r="N178" s="1048"/>
    </row>
    <row r="179" spans="1:14" ht="13.5" customHeight="1" thickBot="1">
      <c r="A179" s="1069"/>
      <c r="B179" s="718">
        <v>0.2</v>
      </c>
      <c r="C179" s="993" t="s">
        <v>84</v>
      </c>
      <c r="D179" s="994"/>
      <c r="E179" s="994"/>
      <c r="F179" s="994"/>
      <c r="G179" s="994"/>
      <c r="H179" s="994"/>
      <c r="I179" s="994"/>
      <c r="J179" s="994"/>
      <c r="K179" s="995"/>
      <c r="L179" s="267"/>
      <c r="M179" s="267"/>
      <c r="N179" s="1048"/>
    </row>
    <row r="180" spans="1:14" ht="13.5" thickBot="1">
      <c r="A180" s="1069"/>
      <c r="B180" s="713" t="s">
        <v>95</v>
      </c>
      <c r="C180" s="253"/>
      <c r="D180" s="138" t="str">
        <f>D$2</f>
        <v>Baseline (Jun-2021)</v>
      </c>
      <c r="E180" s="139">
        <f t="shared" ref="E180:K180" si="30">E$2</f>
        <v>44742</v>
      </c>
      <c r="F180" s="139">
        <f t="shared" si="30"/>
        <v>45107</v>
      </c>
      <c r="G180" s="139">
        <f t="shared" si="30"/>
        <v>45381</v>
      </c>
      <c r="H180" s="139">
        <f t="shared" si="30"/>
        <v>45746</v>
      </c>
      <c r="I180" s="139">
        <f t="shared" si="30"/>
        <v>46111</v>
      </c>
      <c r="J180" s="254">
        <f t="shared" si="30"/>
        <v>46476</v>
      </c>
      <c r="K180" s="254">
        <f t="shared" si="30"/>
        <v>46752</v>
      </c>
      <c r="L180" s="284"/>
      <c r="M180" s="284"/>
      <c r="N180" s="1048"/>
    </row>
    <row r="181" spans="1:14" ht="13.5" thickBot="1">
      <c r="A181" s="1069"/>
      <c r="B181" s="1032" t="s">
        <v>96</v>
      </c>
      <c r="C181" s="897" t="s">
        <v>29</v>
      </c>
      <c r="D181" s="911"/>
      <c r="E181" s="911">
        <v>23.75</v>
      </c>
      <c r="F181" s="911">
        <v>60</v>
      </c>
      <c r="G181" s="911">
        <v>101</v>
      </c>
      <c r="H181" s="911">
        <f>'Aceli Africa'!N81</f>
        <v>240</v>
      </c>
      <c r="I181" s="911">
        <v>312</v>
      </c>
      <c r="J181" s="911">
        <v>312</v>
      </c>
      <c r="K181" s="911">
        <v>312</v>
      </c>
      <c r="L181" s="285"/>
      <c r="M181" s="1014" t="s">
        <v>87</v>
      </c>
      <c r="N181" s="1048"/>
    </row>
    <row r="182" spans="1:14" ht="39">
      <c r="A182" s="1069"/>
      <c r="B182" s="1033"/>
      <c r="C182" s="291" t="s">
        <v>88</v>
      </c>
      <c r="D182" s="292"/>
      <c r="E182" s="293">
        <v>7.125</v>
      </c>
      <c r="F182" s="293">
        <v>26</v>
      </c>
      <c r="G182" s="293">
        <v>50.5</v>
      </c>
      <c r="H182" s="290">
        <f>'Aceli Africa'!N82</f>
        <v>120</v>
      </c>
      <c r="I182" s="293">
        <v>156</v>
      </c>
      <c r="J182" s="293">
        <v>156</v>
      </c>
      <c r="K182" s="293">
        <v>156</v>
      </c>
      <c r="L182" s="294"/>
      <c r="M182" s="1014"/>
      <c r="N182" s="1048"/>
    </row>
    <row r="183" spans="1:14" ht="12.95">
      <c r="A183" s="1069"/>
      <c r="B183" s="1033"/>
      <c r="C183" s="838" t="s">
        <v>31</v>
      </c>
      <c r="D183" s="844"/>
      <c r="E183" s="844">
        <v>26</v>
      </c>
      <c r="F183" s="844"/>
      <c r="G183" s="844">
        <v>111</v>
      </c>
      <c r="H183" s="844">
        <f>'Aceli Africa'!N83</f>
        <v>264</v>
      </c>
      <c r="I183" s="844"/>
      <c r="J183" s="845"/>
      <c r="K183" s="846"/>
      <c r="L183" s="285"/>
      <c r="M183" s="1014"/>
      <c r="N183" s="1048"/>
    </row>
    <row r="184" spans="1:14" ht="39.6" thickBot="1">
      <c r="A184" s="1070"/>
      <c r="B184" s="1034"/>
      <c r="C184" s="301" t="s">
        <v>88</v>
      </c>
      <c r="D184" s="302"/>
      <c r="E184" s="303">
        <v>23</v>
      </c>
      <c r="F184" s="303"/>
      <c r="G184" s="303">
        <v>72</v>
      </c>
      <c r="H184" s="295">
        <f>'Aceli Africa'!N84</f>
        <v>157</v>
      </c>
      <c r="I184" s="303"/>
      <c r="J184" s="304"/>
      <c r="K184" s="305"/>
      <c r="L184" s="294"/>
      <c r="M184" s="1014"/>
      <c r="N184" s="1048"/>
    </row>
    <row r="185" spans="1:14" ht="13.5" thickBot="1">
      <c r="A185" s="717" t="s">
        <v>97</v>
      </c>
      <c r="B185" s="717" t="s">
        <v>83</v>
      </c>
      <c r="C185" s="1000" t="s">
        <v>18</v>
      </c>
      <c r="D185" s="1001"/>
      <c r="E185" s="1001"/>
      <c r="F185" s="1001"/>
      <c r="G185" s="1001"/>
      <c r="H185" s="1001"/>
      <c r="I185" s="1001"/>
      <c r="J185" s="1001"/>
      <c r="K185" s="1002"/>
      <c r="L185" s="181"/>
      <c r="M185" s="181"/>
      <c r="N185" s="1048"/>
    </row>
    <row r="186" spans="1:14" ht="13.5" customHeight="1" thickBot="1">
      <c r="A186" s="718">
        <v>0.35</v>
      </c>
      <c r="B186" s="718">
        <v>0.2</v>
      </c>
      <c r="C186" s="993" t="s">
        <v>84</v>
      </c>
      <c r="D186" s="994"/>
      <c r="E186" s="994"/>
      <c r="F186" s="994"/>
      <c r="G186" s="994"/>
      <c r="H186" s="994"/>
      <c r="I186" s="994"/>
      <c r="J186" s="994"/>
      <c r="K186" s="995"/>
      <c r="L186" s="267"/>
      <c r="M186" s="267"/>
      <c r="N186" s="1048"/>
    </row>
    <row r="187" spans="1:14" ht="13.5" customHeight="1" thickBot="1">
      <c r="A187" s="729" t="s">
        <v>98</v>
      </c>
      <c r="B187" s="720">
        <v>7500000</v>
      </c>
      <c r="C187" s="306" t="s">
        <v>99</v>
      </c>
      <c r="D187" s="1039" t="s">
        <v>100</v>
      </c>
      <c r="E187" s="1040"/>
      <c r="F187" s="1040"/>
      <c r="G187" s="1040"/>
      <c r="H187" s="1040"/>
      <c r="I187" s="1040"/>
      <c r="J187" s="1040"/>
      <c r="K187" s="1040"/>
      <c r="L187" s="1040"/>
      <c r="M187" s="1040"/>
      <c r="N187" s="1041"/>
    </row>
    <row r="188" spans="1:14" ht="13.9" customHeight="1" thickBot="1">
      <c r="A188" s="714"/>
      <c r="B188" s="714"/>
      <c r="C188" s="205"/>
      <c r="D188" s="206"/>
      <c r="E188" s="206"/>
      <c r="F188" s="206"/>
      <c r="G188" s="206"/>
      <c r="H188" s="206"/>
      <c r="I188" s="206"/>
      <c r="J188" s="206"/>
      <c r="K188" s="206"/>
      <c r="L188" s="206"/>
      <c r="M188" s="206"/>
      <c r="N188" s="206"/>
    </row>
    <row r="189" spans="1:14" ht="13.5" thickBot="1">
      <c r="A189" s="727" t="s">
        <v>101</v>
      </c>
      <c r="B189" s="715" t="s">
        <v>102</v>
      </c>
      <c r="C189" s="247"/>
      <c r="D189" s="201" t="str">
        <f>D$2</f>
        <v>Baseline (Jun-2021)</v>
      </c>
      <c r="E189" s="139">
        <f t="shared" ref="E189:K189" si="31">E$2</f>
        <v>44742</v>
      </c>
      <c r="F189" s="139">
        <f t="shared" si="31"/>
        <v>45107</v>
      </c>
      <c r="G189" s="139">
        <f t="shared" si="31"/>
        <v>45381</v>
      </c>
      <c r="H189" s="139">
        <f t="shared" si="31"/>
        <v>45746</v>
      </c>
      <c r="I189" s="139">
        <f t="shared" si="31"/>
        <v>46111</v>
      </c>
      <c r="J189" s="140">
        <f t="shared" si="31"/>
        <v>46476</v>
      </c>
      <c r="K189" s="254">
        <f t="shared" si="31"/>
        <v>46752</v>
      </c>
      <c r="L189" s="307"/>
      <c r="M189" s="307"/>
      <c r="N189" s="212" t="s">
        <v>35</v>
      </c>
    </row>
    <row r="190" spans="1:14" ht="40.5" customHeight="1">
      <c r="A190" s="1042" t="s">
        <v>103</v>
      </c>
      <c r="B190" s="1044" t="s">
        <v>104</v>
      </c>
      <c r="C190" s="897" t="s">
        <v>29</v>
      </c>
      <c r="D190" s="1046" t="s">
        <v>105</v>
      </c>
      <c r="E190" s="1047"/>
      <c r="F190" s="899" t="s">
        <v>106</v>
      </c>
      <c r="G190" s="899" t="str">
        <f>IF(ISERROR((#REF!+#REF!)/(#REF!+#REF!)),"-",TEXT(#REF!+#REF!,"£0,0") &amp; " (" &amp; TEXT((#REF!+#REF!)/(#REF!+#REF!),"0%") &amp; ")")</f>
        <v>-</v>
      </c>
      <c r="H190" s="899" t="str">
        <f>IF(ISERROR((#REF!+#REF!)/(#REF!+#REF!)),"-",TEXT(#REF!+#REF!,"£0,0") &amp; " (" &amp; TEXT((#REF!+#REF!)/(#REF!+#REF!),"0%") &amp; ")")</f>
        <v>-</v>
      </c>
      <c r="I190" s="899" t="str">
        <f>IF(ISERROR((#REF!+#REF!)/(#REF!+#REF!)),"-",TEXT(#REF!+#REF!,"£0,0") &amp; " (" &amp; TEXT((#REF!+#REF!)/(#REF!+#REF!),"0%") &amp; ")")</f>
        <v>-</v>
      </c>
      <c r="J190" s="899" t="str">
        <f>IF(ISERROR((#REF!+#REF!)/(#REF!+#REF!)),"-",TEXT(#REF!+#REF!,"£0,0") &amp; " (" &amp; TEXT((#REF!+#REF!)/(#REF!+#REF!),"0%") &amp; ")")</f>
        <v>-</v>
      </c>
      <c r="K190" s="910" t="str">
        <f>IF(ISERROR((#REF!+#REF!)/(#REF!+#REF!)),"-",TEXT(#REF!+#REF!,"£0,0") &amp; " (" &amp; TEXT((#REF!+#REF!)/(#REF!+#REF!),"0%") &amp; ")")</f>
        <v>-</v>
      </c>
      <c r="L190" s="308"/>
      <c r="M190" s="308" t="s">
        <v>30</v>
      </c>
      <c r="N190" s="1048" t="s">
        <v>81</v>
      </c>
    </row>
    <row r="191" spans="1:14" ht="13.5" thickBot="1">
      <c r="A191" s="1043"/>
      <c r="B191" s="1045"/>
      <c r="C191" s="860" t="s">
        <v>31</v>
      </c>
      <c r="D191" s="856" t="str">
        <f>IF(ISERROR((#REF!+#REF!)/(#REF!+#REF!)),"-",TEXT(#REF!+#REF!,"£0,0") &amp; " (" &amp; TEXT((#REF!+#REF!)/(#REF!+#REF!),"0%") &amp; ")")</f>
        <v>-</v>
      </c>
      <c r="E191" s="824" t="s">
        <v>107</v>
      </c>
      <c r="F191" s="824" t="str">
        <f>IF(ISERROR((#REF!+#REF!)/(#REF!+#REF!)),"-",TEXT(#REF!+#REF!,"£0,0") &amp; " (" &amp; TEXT((#REF!+#REF!)/(#REF!+#REF!),"0%") &amp; ")")</f>
        <v>-</v>
      </c>
      <c r="G191" s="824" t="str">
        <f>IF(ISERROR((#REF!+#REF!)/(#REF!+#REF!)),"-",TEXT(#REF!+#REF!,"£0,0") &amp; " (" &amp; TEXT((#REF!+#REF!)/(#REF!+#REF!),"0%") &amp; ")")</f>
        <v>-</v>
      </c>
      <c r="H191" s="824" t="str">
        <f>IF(ISERROR((#REF!+#REF!)/(#REF!+#REF!)),"-",TEXT(#REF!+#REF!,"£0,0") &amp; " (" &amp; TEXT((#REF!+#REF!)/(#REF!+#REF!),"0%") &amp; ")")</f>
        <v>-</v>
      </c>
      <c r="I191" s="824" t="str">
        <f>IF(ISERROR((#REF!+#REF!)/(#REF!+#REF!)),"-",TEXT(#REF!+#REF!,"£0,0") &amp; " (" &amp; TEXT((#REF!+#REF!)/(#REF!+#REF!),"0%") &amp; ")")</f>
        <v>-</v>
      </c>
      <c r="J191" s="824" t="str">
        <f>IF(ISERROR((#REF!+#REF!)/(#REF!+#REF!)),"-",TEXT(#REF!+#REF!,"£0,0") &amp; " (" &amp; TEXT((#REF!+#REF!)/(#REF!+#REF!),"0%") &amp; ")")</f>
        <v>-</v>
      </c>
      <c r="K191" s="861" t="str">
        <f>IF(ISERROR((#REF!+#REF!)/(#REF!+#REF!)),"-",TEXT(#REF!+#REF!,"£0,0") &amp; " (" &amp; TEXT((#REF!+#REF!)/(#REF!+#REF!),"0%") &amp; ")")</f>
        <v>-</v>
      </c>
      <c r="L191" s="308"/>
      <c r="M191" s="308"/>
      <c r="N191" s="1048"/>
    </row>
    <row r="192" spans="1:14" ht="13.5" thickBot="1">
      <c r="A192" s="1043"/>
      <c r="B192" s="717" t="s">
        <v>83</v>
      </c>
      <c r="C192" s="1022" t="s">
        <v>18</v>
      </c>
      <c r="D192" s="1023"/>
      <c r="E192" s="1023"/>
      <c r="F192" s="1023"/>
      <c r="G192" s="1023"/>
      <c r="H192" s="1023"/>
      <c r="I192" s="1023"/>
      <c r="J192" s="1023"/>
      <c r="K192" s="1024"/>
      <c r="L192" s="181"/>
      <c r="M192" s="181"/>
      <c r="N192" s="1048"/>
    </row>
    <row r="193" spans="1:14" ht="12.95" thickBot="1">
      <c r="A193" s="1043"/>
      <c r="B193" s="718">
        <v>0</v>
      </c>
      <c r="C193" s="993"/>
      <c r="D193" s="994"/>
      <c r="E193" s="994"/>
      <c r="F193" s="994"/>
      <c r="G193" s="994"/>
      <c r="H193" s="994"/>
      <c r="I193" s="994"/>
      <c r="J193" s="994"/>
      <c r="K193" s="995"/>
      <c r="L193" s="267"/>
      <c r="M193" s="267"/>
      <c r="N193" s="1048"/>
    </row>
    <row r="194" spans="1:14" ht="13.5" thickBot="1">
      <c r="A194" s="1043"/>
      <c r="B194" s="713" t="s">
        <v>108</v>
      </c>
      <c r="C194" s="309"/>
      <c r="D194" s="310" t="str">
        <f>D$2</f>
        <v>Baseline (Jun-2021)</v>
      </c>
      <c r="E194" s="139">
        <f t="shared" ref="E194:K194" si="32">E$2</f>
        <v>44742</v>
      </c>
      <c r="F194" s="139">
        <f t="shared" si="32"/>
        <v>45107</v>
      </c>
      <c r="G194" s="139">
        <f t="shared" si="32"/>
        <v>45381</v>
      </c>
      <c r="H194" s="139">
        <f t="shared" si="32"/>
        <v>45746</v>
      </c>
      <c r="I194" s="139">
        <f t="shared" si="32"/>
        <v>46111</v>
      </c>
      <c r="J194" s="254">
        <f t="shared" si="32"/>
        <v>46476</v>
      </c>
      <c r="K194" s="254">
        <f t="shared" si="32"/>
        <v>46752</v>
      </c>
      <c r="L194" s="284"/>
      <c r="M194" s="284"/>
      <c r="N194" s="1048"/>
    </row>
    <row r="195" spans="1:14" ht="14.1" customHeight="1">
      <c r="A195" s="1043"/>
      <c r="B195" s="1065" t="s">
        <v>109</v>
      </c>
      <c r="C195" s="897" t="s">
        <v>29</v>
      </c>
      <c r="D195" s="899"/>
      <c r="E195" s="899"/>
      <c r="F195" s="899" t="s">
        <v>110</v>
      </c>
      <c r="G195" s="899">
        <f>'Manufacturing Africa'!E61</f>
        <v>2</v>
      </c>
      <c r="H195" s="899">
        <f>'Manufacturing Africa'!F61</f>
        <v>13</v>
      </c>
      <c r="I195" s="899">
        <f>'Manufacturing Africa'!G61</f>
        <v>24</v>
      </c>
      <c r="J195" s="899">
        <f>'Manufacturing Africa'!H61</f>
        <v>34</v>
      </c>
      <c r="K195" s="899">
        <f>'Manufacturing Africa'!I61</f>
        <v>0</v>
      </c>
      <c r="L195" s="308"/>
      <c r="M195" s="1007" t="s">
        <v>30</v>
      </c>
      <c r="N195" s="1048"/>
    </row>
    <row r="196" spans="1:14" ht="34.5" customHeight="1">
      <c r="A196" s="1043"/>
      <c r="B196" s="1026"/>
      <c r="C196" s="291" t="s">
        <v>88</v>
      </c>
      <c r="D196" s="311"/>
      <c r="E196" s="311"/>
      <c r="F196" s="312" t="s">
        <v>110</v>
      </c>
      <c r="G196" s="591">
        <f>'Manufacturing Africa'!E71</f>
        <v>2</v>
      </c>
      <c r="H196" s="591">
        <f>'Manufacturing Africa'!F71</f>
        <v>13</v>
      </c>
      <c r="I196" s="591">
        <f>'Manufacturing Africa'!G71</f>
        <v>24</v>
      </c>
      <c r="J196" s="591">
        <f>'Manufacturing Africa'!H71</f>
        <v>34</v>
      </c>
      <c r="K196" s="592"/>
      <c r="L196" s="314"/>
      <c r="M196" s="1006"/>
      <c r="N196" s="1048"/>
    </row>
    <row r="197" spans="1:14" ht="14.1" customHeight="1">
      <c r="A197" s="1043"/>
      <c r="B197" s="1026"/>
      <c r="C197" s="838" t="s">
        <v>31</v>
      </c>
      <c r="D197" s="866"/>
      <c r="E197" s="866"/>
      <c r="F197" s="845"/>
      <c r="G197" s="845">
        <f>'Manufacturing Africa'!E62</f>
        <v>3</v>
      </c>
      <c r="H197" s="845">
        <f>'Manufacturing Africa'!F62</f>
        <v>13</v>
      </c>
      <c r="I197" s="845">
        <f>'Manufacturing Africa'!G62</f>
        <v>0</v>
      </c>
      <c r="J197" s="845">
        <f>'Manufacturing Africa'!H62</f>
        <v>0</v>
      </c>
      <c r="K197" s="845">
        <f>'Manufacturing Africa'!I62</f>
        <v>0</v>
      </c>
      <c r="L197" s="308"/>
      <c r="M197" s="1006"/>
      <c r="N197" s="1048"/>
    </row>
    <row r="198" spans="1:14" ht="27.6" customHeight="1" thickBot="1">
      <c r="A198" s="1043"/>
      <c r="B198" s="1072"/>
      <c r="C198" s="301" t="s">
        <v>88</v>
      </c>
      <c r="D198" s="316"/>
      <c r="E198" s="316"/>
      <c r="F198" s="317"/>
      <c r="G198" s="303">
        <f>'Manufacturing Africa'!E72</f>
        <v>3</v>
      </c>
      <c r="H198" s="303">
        <f>'Manufacturing Africa'!F72</f>
        <v>13</v>
      </c>
      <c r="I198" s="303">
        <f>'Manufacturing Africa'!G72</f>
        <v>0</v>
      </c>
      <c r="J198" s="303">
        <f>'Manufacturing Africa'!H72</f>
        <v>0</v>
      </c>
      <c r="K198" s="303">
        <f>'Manufacturing Africa'!I72</f>
        <v>0</v>
      </c>
      <c r="L198" s="319"/>
      <c r="M198" s="1008"/>
      <c r="N198" s="1048"/>
    </row>
    <row r="199" spans="1:14" ht="13.5" thickBot="1">
      <c r="A199" s="1043"/>
      <c r="B199" s="717" t="s">
        <v>97</v>
      </c>
      <c r="C199" s="1000" t="s">
        <v>18</v>
      </c>
      <c r="D199" s="1001"/>
      <c r="E199" s="1001"/>
      <c r="F199" s="1001"/>
      <c r="G199" s="1001"/>
      <c r="H199" s="1001"/>
      <c r="I199" s="1001"/>
      <c r="J199" s="1001"/>
      <c r="K199" s="1002"/>
      <c r="L199" s="181"/>
      <c r="M199" s="181"/>
      <c r="N199" s="1048"/>
    </row>
    <row r="200" spans="1:14" ht="12.95" thickBot="1">
      <c r="A200" s="1043"/>
      <c r="B200" s="718">
        <v>0.15</v>
      </c>
      <c r="C200" s="993"/>
      <c r="D200" s="994"/>
      <c r="E200" s="994"/>
      <c r="F200" s="994"/>
      <c r="G200" s="994"/>
      <c r="H200" s="994"/>
      <c r="I200" s="994"/>
      <c r="J200" s="994"/>
      <c r="K200" s="995"/>
      <c r="L200" s="267"/>
      <c r="M200" s="267"/>
      <c r="N200" s="1048"/>
    </row>
    <row r="201" spans="1:14" ht="13.5" thickBot="1">
      <c r="A201" s="1043"/>
      <c r="B201" s="713" t="s">
        <v>111</v>
      </c>
      <c r="C201" s="309"/>
      <c r="D201" s="310" t="str">
        <f>D$2</f>
        <v>Baseline (Jun-2021)</v>
      </c>
      <c r="E201" s="139">
        <f t="shared" ref="E201:K201" si="33">E$2</f>
        <v>44742</v>
      </c>
      <c r="F201" s="139">
        <f t="shared" si="33"/>
        <v>45107</v>
      </c>
      <c r="G201" s="139">
        <f t="shared" si="33"/>
        <v>45381</v>
      </c>
      <c r="H201" s="139">
        <f t="shared" si="33"/>
        <v>45746</v>
      </c>
      <c r="I201" s="139">
        <f t="shared" si="33"/>
        <v>46111</v>
      </c>
      <c r="J201" s="254">
        <f t="shared" si="33"/>
        <v>46476</v>
      </c>
      <c r="K201" s="254">
        <f t="shared" si="33"/>
        <v>46752</v>
      </c>
      <c r="L201" s="284"/>
      <c r="M201" s="284"/>
      <c r="N201" s="1048"/>
    </row>
    <row r="202" spans="1:14" ht="20.100000000000001" customHeight="1">
      <c r="A202" s="1043"/>
      <c r="B202" s="1065" t="s">
        <v>112</v>
      </c>
      <c r="C202" s="897" t="s">
        <v>29</v>
      </c>
      <c r="D202" s="914"/>
      <c r="E202" s="914"/>
      <c r="F202" s="914" t="s">
        <v>110</v>
      </c>
      <c r="G202" s="914">
        <f>'Manufacturing Africa'!E66</f>
        <v>1</v>
      </c>
      <c r="H202" s="914">
        <f>'Manufacturing Africa'!F66</f>
        <v>6</v>
      </c>
      <c r="I202" s="914">
        <f>'Manufacturing Africa'!G66</f>
        <v>12</v>
      </c>
      <c r="J202" s="914">
        <f>'Manufacturing Africa'!H66</f>
        <v>17</v>
      </c>
      <c r="K202" s="914">
        <f>'Manufacturing Africa'!I66</f>
        <v>0</v>
      </c>
      <c r="L202" s="308"/>
      <c r="M202" s="1007" t="s">
        <v>30</v>
      </c>
      <c r="N202" s="1048"/>
    </row>
    <row r="203" spans="1:14" ht="20.100000000000001" customHeight="1">
      <c r="A203" s="1043"/>
      <c r="B203" s="1026"/>
      <c r="C203" s="291" t="s">
        <v>88</v>
      </c>
      <c r="D203" s="327"/>
      <c r="E203" s="327"/>
      <c r="F203" s="326" t="s">
        <v>110</v>
      </c>
      <c r="G203" s="326"/>
      <c r="H203" s="326"/>
      <c r="I203" s="326"/>
      <c r="J203" s="326"/>
      <c r="K203" s="326"/>
      <c r="L203" s="314"/>
      <c r="M203" s="1006"/>
      <c r="N203" s="1048"/>
    </row>
    <row r="204" spans="1:14" ht="20.100000000000001" customHeight="1">
      <c r="A204" s="1043"/>
      <c r="B204" s="1026"/>
      <c r="C204" s="838" t="s">
        <v>31</v>
      </c>
      <c r="D204" s="843"/>
      <c r="E204" s="843"/>
      <c r="F204" s="843"/>
      <c r="G204" s="843">
        <f>'Manufacturing Africa'!E67</f>
        <v>3</v>
      </c>
      <c r="H204" s="843">
        <f>'Manufacturing Africa'!F67</f>
        <v>10</v>
      </c>
      <c r="I204" s="843">
        <f>'Manufacturing Africa'!G67</f>
        <v>0</v>
      </c>
      <c r="J204" s="843">
        <f>'Manufacturing Africa'!H67</f>
        <v>0</v>
      </c>
      <c r="K204" s="843">
        <f>'Manufacturing Africa'!I67</f>
        <v>0</v>
      </c>
      <c r="L204" s="308"/>
      <c r="M204" s="1006"/>
      <c r="N204" s="1048"/>
    </row>
    <row r="205" spans="1:14" ht="20.100000000000001" customHeight="1" thickBot="1">
      <c r="A205" s="1043"/>
      <c r="B205" s="1072"/>
      <c r="C205" s="301" t="s">
        <v>88</v>
      </c>
      <c r="D205" s="328"/>
      <c r="E205" s="328"/>
      <c r="F205" s="329"/>
      <c r="G205" s="329"/>
      <c r="H205" s="329"/>
      <c r="I205" s="329"/>
      <c r="J205" s="329"/>
      <c r="K205" s="318"/>
      <c r="L205" s="319"/>
      <c r="M205" s="1008"/>
      <c r="N205" s="1048"/>
    </row>
    <row r="206" spans="1:14" ht="13.5" thickBot="1">
      <c r="A206" s="1043"/>
      <c r="B206" s="717" t="s">
        <v>97</v>
      </c>
      <c r="C206" s="1000" t="s">
        <v>18</v>
      </c>
      <c r="D206" s="1001"/>
      <c r="E206" s="1001"/>
      <c r="F206" s="1001"/>
      <c r="G206" s="1001"/>
      <c r="H206" s="1001"/>
      <c r="I206" s="1001"/>
      <c r="J206" s="1001"/>
      <c r="K206" s="1002"/>
      <c r="L206" s="181"/>
      <c r="M206" s="181"/>
      <c r="N206" s="1048"/>
    </row>
    <row r="207" spans="1:14" ht="12.95" thickBot="1">
      <c r="A207" s="1043"/>
      <c r="B207" s="718">
        <v>0.2</v>
      </c>
      <c r="C207" s="993"/>
      <c r="D207" s="994"/>
      <c r="E207" s="994"/>
      <c r="F207" s="994"/>
      <c r="G207" s="994"/>
      <c r="H207" s="994"/>
      <c r="I207" s="994"/>
      <c r="J207" s="994"/>
      <c r="K207" s="995"/>
      <c r="L207" s="267"/>
      <c r="M207" s="267"/>
      <c r="N207" s="1048"/>
    </row>
    <row r="208" spans="1:14" ht="13.5" thickBot="1">
      <c r="A208" s="1043"/>
      <c r="B208" s="713" t="s">
        <v>113</v>
      </c>
      <c r="C208" s="309"/>
      <c r="D208" s="310" t="str">
        <f>D$2</f>
        <v>Baseline (Jun-2021)</v>
      </c>
      <c r="E208" s="139">
        <f t="shared" ref="E208:K208" si="34">E$2</f>
        <v>44742</v>
      </c>
      <c r="F208" s="139">
        <f t="shared" si="34"/>
        <v>45107</v>
      </c>
      <c r="G208" s="139">
        <f t="shared" si="34"/>
        <v>45381</v>
      </c>
      <c r="H208" s="139">
        <f t="shared" si="34"/>
        <v>45746</v>
      </c>
      <c r="I208" s="139">
        <f t="shared" si="34"/>
        <v>46111</v>
      </c>
      <c r="J208" s="254">
        <f t="shared" si="34"/>
        <v>46476</v>
      </c>
      <c r="K208" s="254">
        <f t="shared" si="34"/>
        <v>46752</v>
      </c>
      <c r="L208" s="284"/>
      <c r="M208" s="284"/>
      <c r="N208" s="1048"/>
    </row>
    <row r="209" spans="1:14" ht="33.950000000000003" customHeight="1" thickBot="1">
      <c r="A209" s="1043"/>
      <c r="B209" s="1032" t="s">
        <v>114</v>
      </c>
      <c r="C209" s="897" t="s">
        <v>29</v>
      </c>
      <c r="D209" s="899"/>
      <c r="E209" s="899"/>
      <c r="F209" s="899" t="s">
        <v>110</v>
      </c>
      <c r="G209" s="899">
        <f>'Manufacturing Africa'!E76</f>
        <v>0</v>
      </c>
      <c r="H209" s="899">
        <f>'Manufacturing Africa'!F76</f>
        <v>1</v>
      </c>
      <c r="I209" s="899">
        <f>'Manufacturing Africa'!G76</f>
        <v>3</v>
      </c>
      <c r="J209" s="899">
        <f>'Manufacturing Africa'!H76</f>
        <v>6</v>
      </c>
      <c r="K209" s="899">
        <f>'Manufacturing Africa'!I76</f>
        <v>0</v>
      </c>
      <c r="L209" s="308"/>
      <c r="M209" s="1006" t="s">
        <v>30</v>
      </c>
      <c r="N209" s="1048"/>
    </row>
    <row r="210" spans="1:14" ht="45" customHeight="1" thickBot="1">
      <c r="A210" s="1043"/>
      <c r="B210" s="1033"/>
      <c r="C210" s="867" t="s">
        <v>31</v>
      </c>
      <c r="D210" s="868"/>
      <c r="E210" s="868"/>
      <c r="F210" s="868" t="s">
        <v>110</v>
      </c>
      <c r="G210" s="868"/>
      <c r="H210" s="836">
        <f>'Manufacturing Africa'!F77</f>
        <v>1</v>
      </c>
      <c r="I210" s="868"/>
      <c r="J210" s="868"/>
      <c r="K210" s="869"/>
      <c r="L210" s="320"/>
      <c r="M210" s="1006"/>
      <c r="N210" s="1048"/>
    </row>
    <row r="211" spans="1:14" ht="13.5" thickBot="1">
      <c r="A211" s="1043"/>
      <c r="B211" s="717" t="s">
        <v>97</v>
      </c>
      <c r="C211" s="1022" t="s">
        <v>18</v>
      </c>
      <c r="D211" s="1023"/>
      <c r="E211" s="1023"/>
      <c r="F211" s="1023"/>
      <c r="G211" s="1023"/>
      <c r="H211" s="1023"/>
      <c r="I211" s="1023"/>
      <c r="J211" s="1023"/>
      <c r="K211" s="1024"/>
      <c r="L211" s="181"/>
      <c r="M211" s="181"/>
      <c r="N211" s="1048"/>
    </row>
    <row r="212" spans="1:14" ht="12.95" thickBot="1">
      <c r="A212" s="1043"/>
      <c r="B212" s="718">
        <v>0.15</v>
      </c>
      <c r="C212" s="993"/>
      <c r="D212" s="994"/>
      <c r="E212" s="994"/>
      <c r="F212" s="994"/>
      <c r="G212" s="994"/>
      <c r="H212" s="994"/>
      <c r="I212" s="994"/>
      <c r="J212" s="994"/>
      <c r="K212" s="995"/>
      <c r="L212" s="267"/>
      <c r="M212" s="267"/>
      <c r="N212" s="1048"/>
    </row>
    <row r="213" spans="1:14" ht="13.5" thickBot="1">
      <c r="A213" s="1043"/>
      <c r="B213" s="713" t="s">
        <v>115</v>
      </c>
      <c r="C213" s="309"/>
      <c r="D213" s="310" t="str">
        <f>D$2</f>
        <v>Baseline (Jun-2021)</v>
      </c>
      <c r="E213" s="139">
        <f t="shared" ref="E213:K213" si="35">E$2</f>
        <v>44742</v>
      </c>
      <c r="F213" s="139">
        <f t="shared" si="35"/>
        <v>45107</v>
      </c>
      <c r="G213" s="139">
        <f t="shared" si="35"/>
        <v>45381</v>
      </c>
      <c r="H213" s="139">
        <f t="shared" si="35"/>
        <v>45746</v>
      </c>
      <c r="I213" s="139">
        <f t="shared" si="35"/>
        <v>46111</v>
      </c>
      <c r="J213" s="254">
        <f t="shared" si="35"/>
        <v>46476</v>
      </c>
      <c r="K213" s="254">
        <f t="shared" si="35"/>
        <v>46752</v>
      </c>
      <c r="L213" s="284"/>
      <c r="M213" s="284"/>
      <c r="N213" s="1048"/>
    </row>
    <row r="214" spans="1:14" ht="24.95" customHeight="1">
      <c r="A214" s="1043"/>
      <c r="B214" s="1032" t="s">
        <v>116</v>
      </c>
      <c r="C214" s="897" t="s">
        <v>29</v>
      </c>
      <c r="D214" s="899"/>
      <c r="E214" s="899"/>
      <c r="F214" s="899" t="s">
        <v>110</v>
      </c>
      <c r="G214" s="899">
        <f>'Manufacturing Africa'!E81</f>
        <v>0</v>
      </c>
      <c r="H214" s="899">
        <f>'Manufacturing Africa'!F81</f>
        <v>6</v>
      </c>
      <c r="I214" s="899">
        <f>'Manufacturing Africa'!G81</f>
        <v>12</v>
      </c>
      <c r="J214" s="899">
        <f>'Manufacturing Africa'!H81</f>
        <v>23</v>
      </c>
      <c r="K214" s="899">
        <f>'Manufacturing Africa'!I81</f>
        <v>0</v>
      </c>
      <c r="L214" s="308"/>
      <c r="M214" s="1006" t="s">
        <v>30</v>
      </c>
      <c r="N214" s="1048"/>
    </row>
    <row r="215" spans="1:14" ht="24.95" customHeight="1">
      <c r="A215" s="1043"/>
      <c r="B215" s="1033"/>
      <c r="C215" s="850" t="s">
        <v>88</v>
      </c>
      <c r="D215" s="872"/>
      <c r="E215" s="872"/>
      <c r="F215" s="871" t="s">
        <v>110</v>
      </c>
      <c r="G215" s="871"/>
      <c r="H215" s="871"/>
      <c r="I215" s="871"/>
      <c r="J215" s="871"/>
      <c r="K215" s="870"/>
      <c r="L215" s="314"/>
      <c r="M215" s="1006"/>
      <c r="N215" s="1048"/>
    </row>
    <row r="216" spans="1:14" ht="24.95" customHeight="1">
      <c r="A216" s="1043"/>
      <c r="B216" s="1033"/>
      <c r="C216" s="851" t="s">
        <v>31</v>
      </c>
      <c r="D216" s="873"/>
      <c r="E216" s="873"/>
      <c r="F216" s="853"/>
      <c r="G216" s="853">
        <f>'Manufacturing Africa'!E82</f>
        <v>2</v>
      </c>
      <c r="H216" s="853">
        <f>'Manufacturing Africa'!F82</f>
        <v>3</v>
      </c>
      <c r="I216" s="853">
        <f>'Manufacturing Africa'!G82</f>
        <v>0</v>
      </c>
      <c r="J216" s="853">
        <f>'Manufacturing Africa'!H82</f>
        <v>0</v>
      </c>
      <c r="K216" s="853">
        <f>'Manufacturing Africa'!I82</f>
        <v>0</v>
      </c>
      <c r="L216" s="308"/>
      <c r="M216" s="1006"/>
      <c r="N216" s="1048"/>
    </row>
    <row r="217" spans="1:14" ht="24.95" customHeight="1" thickBot="1">
      <c r="A217" s="1043"/>
      <c r="B217" s="1034"/>
      <c r="C217" s="301" t="s">
        <v>88</v>
      </c>
      <c r="D217" s="316"/>
      <c r="E217" s="316"/>
      <c r="F217" s="317"/>
      <c r="G217" s="317"/>
      <c r="H217" s="317"/>
      <c r="I217" s="317"/>
      <c r="J217" s="317"/>
      <c r="K217" s="318"/>
      <c r="L217" s="319"/>
      <c r="M217" s="1006"/>
      <c r="N217" s="1048"/>
    </row>
    <row r="218" spans="1:14" ht="13.5" thickBot="1">
      <c r="A218" s="1043"/>
      <c r="B218" s="717" t="s">
        <v>97</v>
      </c>
      <c r="C218" s="1000" t="s">
        <v>18</v>
      </c>
      <c r="D218" s="1001"/>
      <c r="E218" s="1001"/>
      <c r="F218" s="1001"/>
      <c r="G218" s="1001"/>
      <c r="H218" s="1001"/>
      <c r="I218" s="1001"/>
      <c r="J218" s="1001"/>
      <c r="K218" s="1002"/>
      <c r="L218" s="181"/>
      <c r="M218" s="181"/>
      <c r="N218" s="1048"/>
    </row>
    <row r="219" spans="1:14" ht="12.95" thickBot="1">
      <c r="A219" s="1043"/>
      <c r="B219" s="718">
        <v>0.15</v>
      </c>
      <c r="C219" s="993"/>
      <c r="D219" s="994"/>
      <c r="E219" s="994"/>
      <c r="F219" s="994"/>
      <c r="G219" s="994"/>
      <c r="H219" s="994"/>
      <c r="I219" s="994"/>
      <c r="J219" s="994"/>
      <c r="K219" s="995"/>
      <c r="L219" s="267"/>
      <c r="M219" s="267"/>
      <c r="N219" s="1048"/>
    </row>
    <row r="220" spans="1:14" ht="13.5" thickBot="1">
      <c r="A220" s="1043"/>
      <c r="B220" s="713" t="s">
        <v>117</v>
      </c>
      <c r="C220" s="918"/>
      <c r="D220" s="917" t="str">
        <f>D$2</f>
        <v>Baseline (Jun-2021)</v>
      </c>
      <c r="E220" s="916">
        <f t="shared" ref="E220:K220" si="36">E$2</f>
        <v>44742</v>
      </c>
      <c r="F220" s="916">
        <f t="shared" si="36"/>
        <v>45107</v>
      </c>
      <c r="G220" s="916">
        <f t="shared" si="36"/>
        <v>45381</v>
      </c>
      <c r="H220" s="916">
        <f t="shared" si="36"/>
        <v>45746</v>
      </c>
      <c r="I220" s="916">
        <f t="shared" si="36"/>
        <v>46111</v>
      </c>
      <c r="J220" s="915">
        <f t="shared" si="36"/>
        <v>46476</v>
      </c>
      <c r="K220" s="915">
        <f t="shared" si="36"/>
        <v>46752</v>
      </c>
      <c r="L220" s="284"/>
      <c r="M220" s="284"/>
      <c r="N220" s="1048"/>
    </row>
    <row r="221" spans="1:14" ht="24.95" customHeight="1">
      <c r="A221" s="1043"/>
      <c r="B221" s="1032" t="s">
        <v>118</v>
      </c>
      <c r="C221" s="912" t="s">
        <v>29</v>
      </c>
      <c r="D221" s="913"/>
      <c r="E221" s="913"/>
      <c r="F221" s="913" t="s">
        <v>110</v>
      </c>
      <c r="G221" s="913">
        <f>'Manufacturing Africa'!E85</f>
        <v>0</v>
      </c>
      <c r="H221" s="913">
        <f>'Manufacturing Africa'!F85</f>
        <v>1</v>
      </c>
      <c r="I221" s="913">
        <f>'Manufacturing Africa'!G85</f>
        <v>2</v>
      </c>
      <c r="J221" s="913">
        <f>'Manufacturing Africa'!H85</f>
        <v>4</v>
      </c>
      <c r="K221" s="913">
        <f>'Manufacturing Africa'!I85</f>
        <v>0</v>
      </c>
      <c r="L221" s="308"/>
      <c r="M221" s="1007" t="s">
        <v>30</v>
      </c>
      <c r="N221" s="1048"/>
    </row>
    <row r="222" spans="1:14" ht="24.95" customHeight="1">
      <c r="A222" s="1043"/>
      <c r="B222" s="1033"/>
      <c r="C222" s="291" t="s">
        <v>88</v>
      </c>
      <c r="D222" s="311"/>
      <c r="E222" s="311"/>
      <c r="F222" s="312" t="s">
        <v>110</v>
      </c>
      <c r="G222" s="312"/>
      <c r="H222" s="312"/>
      <c r="I222" s="312"/>
      <c r="J222" s="312"/>
      <c r="K222" s="313"/>
      <c r="L222" s="314"/>
      <c r="M222" s="1006"/>
      <c r="N222" s="1048"/>
    </row>
    <row r="223" spans="1:14" ht="24.95" customHeight="1">
      <c r="A223" s="1043"/>
      <c r="B223" s="1033"/>
      <c r="C223" s="838" t="s">
        <v>31</v>
      </c>
      <c r="D223" s="866"/>
      <c r="E223" s="866"/>
      <c r="F223" s="845"/>
      <c r="G223" s="845">
        <f>'Manufacturing Africa'!E86</f>
        <v>0</v>
      </c>
      <c r="H223" s="845">
        <f>'Manufacturing Africa'!F86</f>
        <v>3</v>
      </c>
      <c r="I223" s="845">
        <f>'Manufacturing Africa'!G86</f>
        <v>0</v>
      </c>
      <c r="J223" s="845">
        <f>'Manufacturing Africa'!H86</f>
        <v>0</v>
      </c>
      <c r="K223" s="845">
        <f>'Manufacturing Africa'!I86</f>
        <v>0</v>
      </c>
      <c r="L223" s="308"/>
      <c r="M223" s="1006"/>
      <c r="N223" s="1048"/>
    </row>
    <row r="224" spans="1:14" ht="24.95" customHeight="1" thickBot="1">
      <c r="A224" s="1043"/>
      <c r="B224" s="1034"/>
      <c r="C224" s="301" t="s">
        <v>88</v>
      </c>
      <c r="D224" s="316"/>
      <c r="E224" s="316"/>
      <c r="F224" s="317"/>
      <c r="G224" s="317"/>
      <c r="H224" s="317"/>
      <c r="I224" s="317"/>
      <c r="J224" s="317"/>
      <c r="K224" s="318"/>
      <c r="L224" s="319"/>
      <c r="M224" s="1008"/>
      <c r="N224" s="1048"/>
    </row>
    <row r="225" spans="1:14" ht="13.5" thickBot="1">
      <c r="A225" s="1043"/>
      <c r="B225" s="717" t="s">
        <v>97</v>
      </c>
      <c r="C225" s="1000" t="s">
        <v>18</v>
      </c>
      <c r="D225" s="1001"/>
      <c r="E225" s="1001"/>
      <c r="F225" s="1001"/>
      <c r="G225" s="1001"/>
      <c r="H225" s="1001"/>
      <c r="I225" s="1001"/>
      <c r="J225" s="1001"/>
      <c r="K225" s="1002"/>
      <c r="L225" s="181"/>
      <c r="M225" s="181"/>
      <c r="N225" s="1048"/>
    </row>
    <row r="226" spans="1:14" ht="12.95" thickBot="1">
      <c r="A226" s="1043"/>
      <c r="B226" s="718">
        <v>0.15</v>
      </c>
      <c r="C226" s="993"/>
      <c r="D226" s="994"/>
      <c r="E226" s="994"/>
      <c r="F226" s="994"/>
      <c r="G226" s="994"/>
      <c r="H226" s="994"/>
      <c r="I226" s="994"/>
      <c r="J226" s="994"/>
      <c r="K226" s="995"/>
      <c r="L226" s="267"/>
      <c r="M226" s="267"/>
      <c r="N226" s="1048"/>
    </row>
    <row r="227" spans="1:14" ht="13.5" thickBot="1">
      <c r="A227" s="1043"/>
      <c r="B227" s="713" t="s">
        <v>119</v>
      </c>
      <c r="C227" s="309"/>
      <c r="D227" s="310" t="str">
        <f>D$2</f>
        <v>Baseline (Jun-2021)</v>
      </c>
      <c r="E227" s="139">
        <f t="shared" ref="E227:K227" si="37">E$2</f>
        <v>44742</v>
      </c>
      <c r="F227" s="139">
        <f t="shared" si="37"/>
        <v>45107</v>
      </c>
      <c r="G227" s="139">
        <f t="shared" si="37"/>
        <v>45381</v>
      </c>
      <c r="H227" s="139">
        <f t="shared" si="37"/>
        <v>45746</v>
      </c>
      <c r="I227" s="139">
        <f t="shared" si="37"/>
        <v>46111</v>
      </c>
      <c r="J227" s="254">
        <f t="shared" si="37"/>
        <v>46476</v>
      </c>
      <c r="K227" s="254">
        <f t="shared" si="37"/>
        <v>46752</v>
      </c>
      <c r="L227" s="284"/>
      <c r="M227" s="284"/>
      <c r="N227" s="1048"/>
    </row>
    <row r="228" spans="1:14" ht="24.95" customHeight="1">
      <c r="A228" s="1043"/>
      <c r="B228" s="1032" t="s">
        <v>120</v>
      </c>
      <c r="C228" s="897" t="s">
        <v>29</v>
      </c>
      <c r="D228" s="899"/>
      <c r="E228" s="899"/>
      <c r="F228" s="899" t="s">
        <v>110</v>
      </c>
      <c r="G228" s="899">
        <f>'Manufacturing Africa'!E90</f>
        <v>0</v>
      </c>
      <c r="H228" s="899">
        <f>'Manufacturing Africa'!F90</f>
        <v>2</v>
      </c>
      <c r="I228" s="899">
        <f>'Manufacturing Africa'!G90</f>
        <v>4</v>
      </c>
      <c r="J228" s="899">
        <f>'Manufacturing Africa'!H90</f>
        <v>6</v>
      </c>
      <c r="K228" s="899" t="str">
        <f>'Manufacturing Africa'!I90</f>
        <v xml:space="preserve"> </v>
      </c>
      <c r="L228" s="308"/>
      <c r="M228" s="1007" t="s">
        <v>30</v>
      </c>
      <c r="N228" s="1048"/>
    </row>
    <row r="229" spans="1:14" ht="24.95" customHeight="1">
      <c r="A229" s="1043"/>
      <c r="B229" s="1033"/>
      <c r="C229" s="291" t="s">
        <v>88</v>
      </c>
      <c r="D229" s="311"/>
      <c r="E229" s="311"/>
      <c r="F229" s="312" t="s">
        <v>110</v>
      </c>
      <c r="G229" s="312"/>
      <c r="H229" s="312"/>
      <c r="I229" s="312"/>
      <c r="J229" s="312"/>
      <c r="K229" s="313"/>
      <c r="L229" s="314"/>
      <c r="M229" s="1006"/>
      <c r="N229" s="1048"/>
    </row>
    <row r="230" spans="1:14" ht="24.95" customHeight="1">
      <c r="A230" s="1043"/>
      <c r="B230" s="1033"/>
      <c r="C230" s="838" t="s">
        <v>31</v>
      </c>
      <c r="D230" s="866"/>
      <c r="E230" s="866"/>
      <c r="F230" s="845"/>
      <c r="G230" s="845">
        <f>'Manufacturing Africa'!E91</f>
        <v>0</v>
      </c>
      <c r="H230" s="845">
        <f>'Manufacturing Africa'!F91</f>
        <v>3</v>
      </c>
      <c r="I230" s="845">
        <f>'Manufacturing Africa'!G91</f>
        <v>0</v>
      </c>
      <c r="J230" s="845">
        <f>'Manufacturing Africa'!H91</f>
        <v>0</v>
      </c>
      <c r="K230" s="845">
        <f>'Manufacturing Africa'!I91</f>
        <v>0</v>
      </c>
      <c r="L230" s="308"/>
      <c r="M230" s="1006"/>
      <c r="N230" s="1048"/>
    </row>
    <row r="231" spans="1:14" ht="24.95" customHeight="1" thickBot="1">
      <c r="A231" s="1043"/>
      <c r="B231" s="1034"/>
      <c r="C231" s="301" t="s">
        <v>88</v>
      </c>
      <c r="D231" s="316"/>
      <c r="E231" s="316"/>
      <c r="F231" s="317"/>
      <c r="G231" s="317"/>
      <c r="H231" s="317"/>
      <c r="I231" s="317"/>
      <c r="J231" s="317"/>
      <c r="K231" s="318"/>
      <c r="L231" s="319"/>
      <c r="M231" s="1008"/>
      <c r="N231" s="1048"/>
    </row>
    <row r="232" spans="1:14" ht="13.5" thickBot="1">
      <c r="A232" s="1043"/>
      <c r="B232" s="717" t="s">
        <v>97</v>
      </c>
      <c r="C232" s="1000" t="s">
        <v>18</v>
      </c>
      <c r="D232" s="1001"/>
      <c r="E232" s="1001"/>
      <c r="F232" s="1001"/>
      <c r="G232" s="1001"/>
      <c r="H232" s="1001"/>
      <c r="I232" s="1001"/>
      <c r="J232" s="1001"/>
      <c r="K232" s="1002"/>
      <c r="L232" s="181"/>
      <c r="M232" s="181"/>
      <c r="N232" s="1048"/>
    </row>
    <row r="233" spans="1:14" ht="12.95" thickBot="1">
      <c r="A233" s="1043"/>
      <c r="B233" s="718">
        <v>0.2</v>
      </c>
      <c r="C233" s="993"/>
      <c r="D233" s="994"/>
      <c r="E233" s="994"/>
      <c r="F233" s="994"/>
      <c r="G233" s="994"/>
      <c r="H233" s="994"/>
      <c r="I233" s="994"/>
      <c r="J233" s="994"/>
      <c r="K233" s="995"/>
      <c r="L233" s="267"/>
      <c r="M233" s="267"/>
      <c r="N233" s="1048"/>
    </row>
    <row r="234" spans="1:14" ht="13.5" thickBot="1">
      <c r="A234" s="1043"/>
      <c r="B234" s="713" t="s">
        <v>121</v>
      </c>
      <c r="C234" s="309"/>
      <c r="D234" s="310" t="str">
        <f>D$2</f>
        <v>Baseline (Jun-2021)</v>
      </c>
      <c r="E234" s="139">
        <f t="shared" ref="E234:K234" si="38">E$2</f>
        <v>44742</v>
      </c>
      <c r="F234" s="139">
        <f t="shared" si="38"/>
        <v>45107</v>
      </c>
      <c r="G234" s="139">
        <f t="shared" si="38"/>
        <v>45381</v>
      </c>
      <c r="H234" s="139">
        <f t="shared" si="38"/>
        <v>45746</v>
      </c>
      <c r="I234" s="139">
        <f t="shared" si="38"/>
        <v>46111</v>
      </c>
      <c r="J234" s="254">
        <f t="shared" si="38"/>
        <v>46476</v>
      </c>
      <c r="K234" s="254">
        <f t="shared" si="38"/>
        <v>46752</v>
      </c>
      <c r="L234" s="284"/>
      <c r="M234" s="284"/>
      <c r="N234" s="1048"/>
    </row>
    <row r="235" spans="1:14" ht="24.95" customHeight="1" thickBot="1">
      <c r="A235" s="1043"/>
      <c r="B235" s="1065" t="s">
        <v>122</v>
      </c>
      <c r="C235" s="897" t="s">
        <v>29</v>
      </c>
      <c r="D235" s="899"/>
      <c r="E235" s="899"/>
      <c r="F235" s="899" t="s">
        <v>110</v>
      </c>
      <c r="G235" s="899"/>
      <c r="H235" s="902" t="s">
        <v>123</v>
      </c>
      <c r="I235" s="899"/>
      <c r="J235" s="899"/>
      <c r="K235" s="910"/>
      <c r="L235" s="308"/>
      <c r="M235" s="1007" t="s">
        <v>30</v>
      </c>
      <c r="N235" s="1048"/>
    </row>
    <row r="236" spans="1:14" ht="24.95" customHeight="1">
      <c r="A236" s="1043"/>
      <c r="B236" s="1026"/>
      <c r="C236" s="291" t="s">
        <v>88</v>
      </c>
      <c r="D236" s="311"/>
      <c r="E236" s="311"/>
      <c r="F236" s="312" t="s">
        <v>110</v>
      </c>
      <c r="G236" s="312"/>
      <c r="H236" s="984" t="s">
        <v>123</v>
      </c>
      <c r="I236" s="312"/>
      <c r="J236" s="312"/>
      <c r="K236" s="313"/>
      <c r="L236" s="314"/>
      <c r="M236" s="1006"/>
      <c r="N236" s="1048"/>
    </row>
    <row r="237" spans="1:14" ht="24.95" customHeight="1">
      <c r="A237" s="1043"/>
      <c r="B237" s="1026"/>
      <c r="C237" s="838" t="s">
        <v>31</v>
      </c>
      <c r="D237" s="866"/>
      <c r="E237" s="866"/>
      <c r="F237" s="845"/>
      <c r="G237" s="845"/>
      <c r="H237" s="845"/>
      <c r="I237" s="845"/>
      <c r="J237" s="845"/>
      <c r="K237" s="846"/>
      <c r="L237" s="308"/>
      <c r="M237" s="1006"/>
      <c r="N237" s="1048"/>
    </row>
    <row r="238" spans="1:14" ht="24.95" customHeight="1" thickBot="1">
      <c r="A238" s="1043"/>
      <c r="B238" s="1072"/>
      <c r="C238" s="301" t="s">
        <v>88</v>
      </c>
      <c r="D238" s="316"/>
      <c r="E238" s="316"/>
      <c r="F238" s="317"/>
      <c r="G238" s="317"/>
      <c r="H238" s="317"/>
      <c r="I238" s="317"/>
      <c r="J238" s="317"/>
      <c r="K238" s="318"/>
      <c r="L238" s="319"/>
      <c r="M238" s="1008"/>
      <c r="N238" s="1048"/>
    </row>
    <row r="239" spans="1:14" ht="13.5" thickBot="1">
      <c r="A239" s="717" t="s">
        <v>97</v>
      </c>
      <c r="B239" s="717" t="s">
        <v>83</v>
      </c>
      <c r="C239" s="1000" t="s">
        <v>18</v>
      </c>
      <c r="D239" s="1001"/>
      <c r="E239" s="1001"/>
      <c r="F239" s="1001"/>
      <c r="G239" s="1001"/>
      <c r="H239" s="1001"/>
      <c r="I239" s="1001"/>
      <c r="J239" s="1001"/>
      <c r="K239" s="1002"/>
      <c r="L239" s="181"/>
      <c r="M239" s="181"/>
      <c r="N239" s="1048"/>
    </row>
    <row r="240" spans="1:14" ht="12.95" thickBot="1">
      <c r="A240" s="718">
        <v>0.3</v>
      </c>
      <c r="B240" s="718">
        <v>0</v>
      </c>
      <c r="C240" s="993"/>
      <c r="D240" s="994"/>
      <c r="E240" s="994"/>
      <c r="F240" s="994"/>
      <c r="G240" s="994"/>
      <c r="H240" s="994"/>
      <c r="I240" s="994"/>
      <c r="J240" s="994"/>
      <c r="K240" s="995"/>
      <c r="L240" s="267"/>
      <c r="M240" s="267"/>
      <c r="N240" s="1048"/>
    </row>
    <row r="241" spans="1:14" ht="13.5" customHeight="1" thickBot="1">
      <c r="A241" s="729" t="s">
        <v>98</v>
      </c>
      <c r="B241" s="720">
        <v>16500000</v>
      </c>
      <c r="C241" s="306" t="s">
        <v>99</v>
      </c>
      <c r="D241" s="1039" t="s">
        <v>124</v>
      </c>
      <c r="E241" s="1040"/>
      <c r="F241" s="1040"/>
      <c r="G241" s="1040"/>
      <c r="H241" s="1040"/>
      <c r="I241" s="1040"/>
      <c r="J241" s="1040"/>
      <c r="K241" s="1040"/>
      <c r="L241" s="1040"/>
      <c r="M241" s="1040"/>
      <c r="N241" s="1041"/>
    </row>
    <row r="242" spans="1:14" ht="13.9" customHeight="1" thickBot="1">
      <c r="A242" s="714"/>
      <c r="B242" s="714"/>
      <c r="C242" s="205"/>
      <c r="D242" s="206"/>
      <c r="E242" s="206"/>
      <c r="F242" s="206"/>
      <c r="G242" s="206"/>
      <c r="H242" s="206"/>
      <c r="I242" s="206"/>
      <c r="J242" s="206"/>
      <c r="K242" s="206"/>
      <c r="L242" s="206"/>
      <c r="M242" s="206"/>
      <c r="N242" s="206"/>
    </row>
    <row r="243" spans="1:14" ht="13.5" thickBot="1">
      <c r="A243" s="730" t="s">
        <v>125</v>
      </c>
      <c r="B243" s="712" t="s">
        <v>126</v>
      </c>
      <c r="C243" s="247"/>
      <c r="D243" s="138" t="str">
        <f>D$2</f>
        <v>Baseline (Jun-2021)</v>
      </c>
      <c r="E243" s="139">
        <f t="shared" ref="E243:K243" si="39">E$2</f>
        <v>44742</v>
      </c>
      <c r="F243" s="139">
        <f t="shared" si="39"/>
        <v>45107</v>
      </c>
      <c r="G243" s="139">
        <f t="shared" si="39"/>
        <v>45381</v>
      </c>
      <c r="H243" s="139">
        <f t="shared" si="39"/>
        <v>45746</v>
      </c>
      <c r="I243" s="139">
        <f t="shared" si="39"/>
        <v>46111</v>
      </c>
      <c r="J243" s="140">
        <f t="shared" si="39"/>
        <v>46476</v>
      </c>
      <c r="K243" s="254">
        <f t="shared" si="39"/>
        <v>46752</v>
      </c>
      <c r="L243" s="307"/>
      <c r="M243" s="307"/>
      <c r="N243" s="212" t="s">
        <v>35</v>
      </c>
    </row>
    <row r="244" spans="1:14" ht="33.75" customHeight="1">
      <c r="A244" s="1031" t="s">
        <v>127</v>
      </c>
      <c r="B244" s="1035" t="s">
        <v>128</v>
      </c>
      <c r="C244" s="919" t="s">
        <v>29</v>
      </c>
      <c r="D244" s="1036" t="s">
        <v>129</v>
      </c>
      <c r="E244" s="1036"/>
      <c r="F244" s="920" t="str">
        <f>IF(ISERROR((#REF!+#REF!)/(#REF!+#REF!)),"-",TEXT(#REF!+#REF!,"£0,0") &amp; " (" &amp; TEXT((#REF!+#REF!)/(#REF!+#REF!),"0%") &amp; ")")</f>
        <v>-</v>
      </c>
      <c r="G244" s="920" t="str">
        <f>IF(ISERROR((#REF!+#REF!)/(#REF!+#REF!)),"-",TEXT(#REF!+#REF!,"£0,0") &amp; " (" &amp; TEXT((#REF!+#REF!)/(#REF!+#REF!),"0%") &amp; ")")</f>
        <v>-</v>
      </c>
      <c r="H244" s="920" t="str">
        <f>IF(ISERROR((#REF!+#REF!)/(#REF!+#REF!)),"-",TEXT(#REF!+#REF!,"£0,0") &amp; " (" &amp; TEXT((#REF!+#REF!)/(#REF!+#REF!),"0%") &amp; ")")</f>
        <v>-</v>
      </c>
      <c r="I244" s="920" t="str">
        <f>IF(ISERROR((#REF!+#REF!)/(#REF!+#REF!)),"-",TEXT(#REF!+#REF!,"£0,0") &amp; " (" &amp; TEXT((#REF!+#REF!)/(#REF!+#REF!),"0%") &amp; ")")</f>
        <v>-</v>
      </c>
      <c r="J244" s="920" t="str">
        <f>IF(ISERROR((#REF!+#REF!)/(#REF!+#REF!)),"-",TEXT(#REF!+#REF!,"£0,0") &amp; " (" &amp; TEXT((#REF!+#REF!)/(#REF!+#REF!),"0%") &amp; ")")</f>
        <v>-</v>
      </c>
      <c r="K244" s="920" t="str">
        <f>IF(ISERROR((#REF!+#REF!)/(#REF!+#REF!)),"-",TEXT(#REF!+#REF!,"£0,0") &amp; " (" &amp; TEXT((#REF!+#REF!)/(#REF!+#REF!),"0%") &amp; ")")</f>
        <v>-</v>
      </c>
      <c r="L244" s="308"/>
      <c r="M244" s="308"/>
      <c r="N244" s="1048" t="s">
        <v>81</v>
      </c>
    </row>
    <row r="245" spans="1:14" ht="15" customHeight="1">
      <c r="A245" s="1031"/>
      <c r="B245" s="1035"/>
      <c r="C245" s="855" t="s">
        <v>31</v>
      </c>
      <c r="D245" s="866"/>
      <c r="E245" s="845" t="s">
        <v>107</v>
      </c>
      <c r="F245" s="845" t="str">
        <f>IF(ISERROR((#REF!+#REF!)/(#REF!+#REF!)),"-",TEXT(#REF!+#REF!,"£0,0") &amp; " (" &amp; TEXT((#REF!+#REF!)/(#REF!+#REF!),"0%") &amp; ")")</f>
        <v>-</v>
      </c>
      <c r="G245" s="845" t="str">
        <f>IF(ISERROR((#REF!+#REF!)/(#REF!+#REF!)),"-",TEXT(#REF!+#REF!,"£0,0") &amp; " (" &amp; TEXT((#REF!+#REF!)/(#REF!+#REF!),"0%") &amp; ")")</f>
        <v>-</v>
      </c>
      <c r="H245" s="845" t="str">
        <f>IF(ISERROR((#REF!+#REF!)/(#REF!+#REF!)),"-",TEXT(#REF!+#REF!,"£0,0") &amp; " (" &amp; TEXT((#REF!+#REF!)/(#REF!+#REF!),"0%") &amp; ")")</f>
        <v>-</v>
      </c>
      <c r="I245" s="845" t="str">
        <f>IF(ISERROR((#REF!+#REF!)/(#REF!+#REF!)),"-",TEXT(#REF!+#REF!,"£0,0") &amp; " (" &amp; TEXT((#REF!+#REF!)/(#REF!+#REF!),"0%") &amp; ")")</f>
        <v>-</v>
      </c>
      <c r="J245" s="845" t="str">
        <f>IF(ISERROR((#REF!+#REF!)/(#REF!+#REF!)),"-",TEXT(#REF!+#REF!,"£0,0") &amp; " (" &amp; TEXT((#REF!+#REF!)/(#REF!+#REF!),"0%") &amp; ")")</f>
        <v>-</v>
      </c>
      <c r="K245" s="845" t="str">
        <f>IF(ISERROR((#REF!+#REF!)/(#REF!+#REF!)),"-",TEXT(#REF!+#REF!,"£0,0") &amp; " (" &amp; TEXT((#REF!+#REF!)/(#REF!+#REF!),"0%") &amp; ")")</f>
        <v>-</v>
      </c>
      <c r="L245" s="308"/>
      <c r="M245" s="308"/>
      <c r="N245" s="1048"/>
    </row>
    <row r="246" spans="1:14" ht="15" customHeight="1">
      <c r="A246" s="1031"/>
      <c r="B246" s="589" t="s">
        <v>83</v>
      </c>
      <c r="C246" s="1029" t="s">
        <v>18</v>
      </c>
      <c r="D246" s="1029"/>
      <c r="E246" s="1029"/>
      <c r="F246" s="1029"/>
      <c r="G246" s="1029"/>
      <c r="H246" s="1029"/>
      <c r="I246" s="1029"/>
      <c r="J246" s="1029"/>
      <c r="K246" s="1029"/>
      <c r="L246" s="181"/>
      <c r="M246" s="181"/>
      <c r="N246" s="1048"/>
    </row>
    <row r="247" spans="1:14" ht="12.95" customHeight="1">
      <c r="A247" s="1031"/>
      <c r="B247" s="590">
        <v>0</v>
      </c>
      <c r="C247" s="1037" t="s">
        <v>130</v>
      </c>
      <c r="D247" s="1037"/>
      <c r="E247" s="1037"/>
      <c r="F247" s="1037"/>
      <c r="G247" s="1037"/>
      <c r="H247" s="1037"/>
      <c r="I247" s="1037"/>
      <c r="J247" s="1037"/>
      <c r="K247" s="1037"/>
      <c r="L247" s="267"/>
      <c r="M247" s="267"/>
      <c r="N247" s="1048"/>
    </row>
    <row r="248" spans="1:14" ht="15" customHeight="1">
      <c r="A248" s="1031"/>
      <c r="B248" s="721" t="s">
        <v>131</v>
      </c>
      <c r="C248" s="574"/>
      <c r="D248" s="575" t="str">
        <f>D$2</f>
        <v>Baseline (Jun-2021)</v>
      </c>
      <c r="E248" s="576">
        <f t="shared" ref="E248:K248" si="40">E$2</f>
        <v>44742</v>
      </c>
      <c r="F248" s="576">
        <f t="shared" si="40"/>
        <v>45107</v>
      </c>
      <c r="G248" s="576">
        <f t="shared" si="40"/>
        <v>45381</v>
      </c>
      <c r="H248" s="576">
        <f t="shared" si="40"/>
        <v>45746</v>
      </c>
      <c r="I248" s="576">
        <f t="shared" si="40"/>
        <v>46111</v>
      </c>
      <c r="J248" s="576">
        <f t="shared" si="40"/>
        <v>46476</v>
      </c>
      <c r="K248" s="576">
        <f t="shared" si="40"/>
        <v>46752</v>
      </c>
      <c r="L248" s="284"/>
      <c r="M248" s="284"/>
      <c r="N248" s="1048"/>
    </row>
    <row r="249" spans="1:14" ht="35.450000000000003" customHeight="1">
      <c r="A249" s="1031"/>
      <c r="B249" s="1038" t="s">
        <v>132</v>
      </c>
      <c r="C249" s="921" t="s">
        <v>133</v>
      </c>
      <c r="D249" s="922"/>
      <c r="E249" s="922"/>
      <c r="F249" s="922"/>
      <c r="G249" s="922"/>
      <c r="H249" s="905">
        <f>'Green Growth Facility'!G80</f>
        <v>3</v>
      </c>
      <c r="I249" s="923" t="s">
        <v>134</v>
      </c>
      <c r="J249" s="923" t="s">
        <v>134</v>
      </c>
      <c r="K249" s="923" t="s">
        <v>134</v>
      </c>
      <c r="L249" s="308"/>
      <c r="M249" s="308"/>
      <c r="N249" s="1048"/>
    </row>
    <row r="250" spans="1:14" ht="14.25" customHeight="1">
      <c r="A250" s="1031"/>
      <c r="B250" s="1038"/>
      <c r="C250" s="578" t="s">
        <v>135</v>
      </c>
      <c r="D250" s="569"/>
      <c r="E250" s="569"/>
      <c r="F250" s="569"/>
      <c r="G250" s="569"/>
      <c r="H250" s="517">
        <f>'Green Growth Facility'!G81</f>
        <v>1</v>
      </c>
      <c r="I250" s="518" t="s">
        <v>134</v>
      </c>
      <c r="J250" s="518" t="s">
        <v>134</v>
      </c>
      <c r="K250" s="518" t="s">
        <v>134</v>
      </c>
      <c r="L250" s="308"/>
      <c r="M250" s="308"/>
      <c r="N250" s="1048"/>
    </row>
    <row r="251" spans="1:14" ht="15.75" customHeight="1">
      <c r="A251" s="1031"/>
      <c r="B251" s="1038"/>
      <c r="C251" s="578" t="s">
        <v>136</v>
      </c>
      <c r="D251" s="569"/>
      <c r="E251" s="569"/>
      <c r="F251" s="569"/>
      <c r="G251" s="569"/>
      <c r="H251" s="517">
        <f>'Green Growth Facility'!G82</f>
        <v>0</v>
      </c>
      <c r="I251" s="518" t="s">
        <v>134</v>
      </c>
      <c r="J251" s="518" t="s">
        <v>134</v>
      </c>
      <c r="K251" s="518" t="s">
        <v>134</v>
      </c>
      <c r="L251" s="308"/>
      <c r="M251" s="308"/>
      <c r="N251" s="1048"/>
    </row>
    <row r="252" spans="1:14" ht="11.45" customHeight="1">
      <c r="A252" s="1031"/>
      <c r="B252" s="1038"/>
      <c r="C252" s="874" t="s">
        <v>137</v>
      </c>
      <c r="D252" s="875"/>
      <c r="E252" s="875"/>
      <c r="F252" s="875"/>
      <c r="G252" s="875"/>
      <c r="H252" s="876">
        <f>'Green Growth Facility'!G83</f>
        <v>4</v>
      </c>
      <c r="I252" s="875"/>
      <c r="J252" s="875"/>
      <c r="K252" s="875"/>
      <c r="L252" s="308"/>
      <c r="M252" s="308"/>
      <c r="N252" s="1048"/>
    </row>
    <row r="253" spans="1:14" ht="19.5" customHeight="1">
      <c r="A253" s="1031"/>
      <c r="B253" s="1038"/>
      <c r="C253" s="578" t="s">
        <v>135</v>
      </c>
      <c r="D253" s="570"/>
      <c r="E253" s="570"/>
      <c r="F253" s="570"/>
      <c r="G253" s="570"/>
      <c r="H253" s="520">
        <f>'Green Growth Facility'!G84</f>
        <v>1</v>
      </c>
      <c r="I253" s="519"/>
      <c r="J253" s="519"/>
      <c r="K253" s="519"/>
      <c r="L253" s="308"/>
      <c r="M253" s="308"/>
      <c r="N253" s="1048"/>
    </row>
    <row r="254" spans="1:14" ht="19.5" customHeight="1">
      <c r="A254" s="1031"/>
      <c r="B254" s="1038"/>
      <c r="C254" s="578" t="s">
        <v>136</v>
      </c>
      <c r="D254" s="571"/>
      <c r="E254" s="571"/>
      <c r="F254" s="571"/>
      <c r="G254" s="571"/>
      <c r="H254" s="520">
        <f>'Green Growth Facility'!G85</f>
        <v>0</v>
      </c>
      <c r="I254" s="579"/>
      <c r="J254" s="579"/>
      <c r="K254" s="579"/>
      <c r="L254" s="308"/>
      <c r="M254" s="308"/>
      <c r="N254" s="1048"/>
    </row>
    <row r="255" spans="1:14" ht="15" customHeight="1">
      <c r="A255" s="1031"/>
      <c r="B255" s="589" t="s">
        <v>83</v>
      </c>
      <c r="C255" s="1029" t="s">
        <v>18</v>
      </c>
      <c r="D255" s="1029"/>
      <c r="E255" s="1029"/>
      <c r="F255" s="1029"/>
      <c r="G255" s="1029"/>
      <c r="H255" s="1029"/>
      <c r="I255" s="1029"/>
      <c r="J255" s="1029"/>
      <c r="K255" s="1029"/>
      <c r="L255" s="181"/>
      <c r="M255" s="181"/>
      <c r="N255" s="1048"/>
    </row>
    <row r="256" spans="1:14" ht="12.95" customHeight="1">
      <c r="A256" s="1031"/>
      <c r="B256" s="590">
        <v>0.2</v>
      </c>
      <c r="C256" s="1037" t="s">
        <v>130</v>
      </c>
      <c r="D256" s="1037"/>
      <c r="E256" s="1037"/>
      <c r="F256" s="1037"/>
      <c r="G256" s="1037"/>
      <c r="H256" s="1037"/>
      <c r="I256" s="1037"/>
      <c r="J256" s="1037"/>
      <c r="K256" s="1037"/>
      <c r="L256" s="267"/>
      <c r="M256" s="267"/>
      <c r="N256" s="1048"/>
    </row>
    <row r="257" spans="1:14" ht="15" customHeight="1">
      <c r="A257" s="1031"/>
      <c r="B257" s="721" t="s">
        <v>138</v>
      </c>
      <c r="C257" s="574"/>
      <c r="D257" s="575" t="str">
        <f>D$2</f>
        <v>Baseline (Jun-2021)</v>
      </c>
      <c r="E257" s="576">
        <f t="shared" ref="E257:K257" si="41">E$2</f>
        <v>44742</v>
      </c>
      <c r="F257" s="576">
        <f t="shared" si="41"/>
        <v>45107</v>
      </c>
      <c r="G257" s="576">
        <f t="shared" si="41"/>
        <v>45381</v>
      </c>
      <c r="H257" s="576">
        <f t="shared" si="41"/>
        <v>45746</v>
      </c>
      <c r="I257" s="576">
        <f t="shared" si="41"/>
        <v>46111</v>
      </c>
      <c r="J257" s="576">
        <f t="shared" si="41"/>
        <v>46476</v>
      </c>
      <c r="K257" s="576">
        <f t="shared" si="41"/>
        <v>46752</v>
      </c>
      <c r="L257" s="284"/>
      <c r="M257" s="284"/>
      <c r="N257" s="1048"/>
    </row>
    <row r="258" spans="1:14" ht="12.95" customHeight="1">
      <c r="A258" s="1031"/>
      <c r="B258" s="1038" t="s">
        <v>139</v>
      </c>
      <c r="C258" s="921" t="s">
        <v>133</v>
      </c>
      <c r="D258" s="924"/>
      <c r="E258" s="924"/>
      <c r="F258" s="924"/>
      <c r="G258" s="924"/>
      <c r="H258" s="905">
        <f>'Green Growth Facility'!G89</f>
        <v>4</v>
      </c>
      <c r="I258" s="923" t="s">
        <v>134</v>
      </c>
      <c r="J258" s="923" t="s">
        <v>134</v>
      </c>
      <c r="K258" s="923" t="s">
        <v>134</v>
      </c>
      <c r="L258" s="321"/>
      <c r="M258" s="322"/>
      <c r="N258" s="1048"/>
    </row>
    <row r="259" spans="1:14" ht="14.45" customHeight="1">
      <c r="A259" s="1031"/>
      <c r="B259" s="1038"/>
      <c r="C259" s="578" t="s">
        <v>135</v>
      </c>
      <c r="D259" s="571"/>
      <c r="E259" s="571"/>
      <c r="F259" s="571"/>
      <c r="G259" s="571"/>
      <c r="H259" s="517">
        <f>'Green Growth Facility'!G90</f>
        <v>1</v>
      </c>
      <c r="I259" s="518" t="s">
        <v>134</v>
      </c>
      <c r="J259" s="518" t="s">
        <v>134</v>
      </c>
      <c r="K259" s="518" t="s">
        <v>134</v>
      </c>
      <c r="L259" s="321"/>
      <c r="M259" s="322"/>
      <c r="N259" s="1048"/>
    </row>
    <row r="260" spans="1:14" ht="14.45" customHeight="1">
      <c r="A260" s="1031"/>
      <c r="B260" s="1038"/>
      <c r="C260" s="578" t="s">
        <v>136</v>
      </c>
      <c r="D260" s="571"/>
      <c r="E260" s="571"/>
      <c r="F260" s="571"/>
      <c r="G260" s="571"/>
      <c r="H260" s="517">
        <f>'Green Growth Facility'!G91</f>
        <v>1</v>
      </c>
      <c r="I260" s="518" t="s">
        <v>134</v>
      </c>
      <c r="J260" s="518" t="s">
        <v>134</v>
      </c>
      <c r="K260" s="518" t="s">
        <v>134</v>
      </c>
      <c r="L260" s="321"/>
      <c r="M260" s="322"/>
      <c r="N260" s="1048"/>
    </row>
    <row r="261" spans="1:14" ht="14.45" customHeight="1">
      <c r="A261" s="1031"/>
      <c r="B261" s="1038"/>
      <c r="C261" s="874" t="s">
        <v>137</v>
      </c>
      <c r="D261" s="877"/>
      <c r="E261" s="877"/>
      <c r="F261" s="877"/>
      <c r="G261" s="877"/>
      <c r="H261" s="876">
        <f>'Green Growth Facility'!G92</f>
        <v>4</v>
      </c>
      <c r="I261" s="875"/>
      <c r="J261" s="875"/>
      <c r="K261" s="875"/>
      <c r="L261" s="321"/>
      <c r="M261" s="322"/>
      <c r="N261" s="1048"/>
    </row>
    <row r="262" spans="1:14" ht="14.45" customHeight="1">
      <c r="A262" s="1031"/>
      <c r="B262" s="1038"/>
      <c r="C262" s="578" t="s">
        <v>135</v>
      </c>
      <c r="D262" s="571"/>
      <c r="E262" s="571"/>
      <c r="F262" s="571"/>
      <c r="G262" s="571"/>
      <c r="H262" s="520">
        <f>'Green Growth Facility'!G93</f>
        <v>3</v>
      </c>
      <c r="I262" s="519"/>
      <c r="J262" s="519"/>
      <c r="K262" s="519"/>
      <c r="L262" s="321"/>
      <c r="M262" s="322"/>
      <c r="N262" s="1048"/>
    </row>
    <row r="263" spans="1:14" ht="15" customHeight="1">
      <c r="A263" s="1031"/>
      <c r="B263" s="1038"/>
      <c r="C263" s="578" t="s">
        <v>136</v>
      </c>
      <c r="D263" s="571"/>
      <c r="E263" s="571"/>
      <c r="F263" s="571"/>
      <c r="G263" s="571"/>
      <c r="H263" s="520">
        <f>'Green Growth Facility'!G94</f>
        <v>2</v>
      </c>
      <c r="I263" s="579"/>
      <c r="J263" s="579"/>
      <c r="K263" s="579"/>
      <c r="L263" s="322"/>
      <c r="M263" s="322"/>
      <c r="N263" s="1048"/>
    </row>
    <row r="264" spans="1:14" ht="15" customHeight="1">
      <c r="A264" s="1031"/>
      <c r="B264" s="589" t="s">
        <v>83</v>
      </c>
      <c r="C264" s="1029" t="s">
        <v>18</v>
      </c>
      <c r="D264" s="1029"/>
      <c r="E264" s="1029"/>
      <c r="F264" s="1029"/>
      <c r="G264" s="1029"/>
      <c r="H264" s="1029"/>
      <c r="I264" s="1029"/>
      <c r="J264" s="1029"/>
      <c r="K264" s="1029"/>
      <c r="L264" s="181"/>
      <c r="M264" s="181"/>
      <c r="N264" s="1048"/>
    </row>
    <row r="265" spans="1:14" ht="12.95" customHeight="1">
      <c r="A265" s="1031"/>
      <c r="B265" s="590">
        <v>0.2</v>
      </c>
      <c r="C265" s="1037" t="s">
        <v>130</v>
      </c>
      <c r="D265" s="1037"/>
      <c r="E265" s="1037"/>
      <c r="F265" s="1037"/>
      <c r="G265" s="1037"/>
      <c r="H265" s="1037"/>
      <c r="I265" s="1037"/>
      <c r="J265" s="1037"/>
      <c r="K265" s="1037"/>
      <c r="L265" s="267"/>
      <c r="M265" s="267"/>
      <c r="N265" s="1048"/>
    </row>
    <row r="266" spans="1:14" ht="15" customHeight="1">
      <c r="A266" s="1031"/>
      <c r="B266" s="721" t="s">
        <v>140</v>
      </c>
      <c r="C266" s="574"/>
      <c r="D266" s="575" t="str">
        <f>D$2</f>
        <v>Baseline (Jun-2021)</v>
      </c>
      <c r="E266" s="576">
        <f t="shared" ref="E266:K266" si="42">E$2</f>
        <v>44742</v>
      </c>
      <c r="F266" s="576">
        <f t="shared" si="42"/>
        <v>45107</v>
      </c>
      <c r="G266" s="576">
        <f t="shared" si="42"/>
        <v>45381</v>
      </c>
      <c r="H266" s="576">
        <f t="shared" si="42"/>
        <v>45746</v>
      </c>
      <c r="I266" s="576">
        <f t="shared" si="42"/>
        <v>46111</v>
      </c>
      <c r="J266" s="576">
        <f t="shared" si="42"/>
        <v>46476</v>
      </c>
      <c r="K266" s="576">
        <f t="shared" si="42"/>
        <v>46752</v>
      </c>
      <c r="L266" s="284"/>
      <c r="M266" s="284"/>
      <c r="N266" s="1048"/>
    </row>
    <row r="267" spans="1:14" ht="20.25" customHeight="1">
      <c r="A267" s="1031"/>
      <c r="B267" s="1038" t="s">
        <v>141</v>
      </c>
      <c r="C267" s="921" t="s">
        <v>133</v>
      </c>
      <c r="D267" s="924"/>
      <c r="E267" s="924"/>
      <c r="F267" s="924"/>
      <c r="G267" s="924"/>
      <c r="H267" s="905">
        <f>'Green Growth Facility'!G98</f>
        <v>2</v>
      </c>
      <c r="I267" s="923" t="s">
        <v>134</v>
      </c>
      <c r="J267" s="923" t="s">
        <v>134</v>
      </c>
      <c r="K267" s="923" t="s">
        <v>134</v>
      </c>
      <c r="L267" s="321"/>
      <c r="M267" s="322"/>
      <c r="N267" s="1048"/>
    </row>
    <row r="268" spans="1:14" ht="14.45" customHeight="1">
      <c r="A268" s="1031"/>
      <c r="B268" s="1038"/>
      <c r="C268" s="578" t="s">
        <v>135</v>
      </c>
      <c r="D268" s="571"/>
      <c r="E268" s="571"/>
      <c r="F268" s="571"/>
      <c r="G268" s="571"/>
      <c r="H268" s="517">
        <f>'Green Growth Facility'!G99</f>
        <v>0</v>
      </c>
      <c r="I268" s="518" t="s">
        <v>134</v>
      </c>
      <c r="J268" s="518" t="s">
        <v>134</v>
      </c>
      <c r="K268" s="518" t="s">
        <v>134</v>
      </c>
      <c r="L268" s="321"/>
      <c r="M268" s="322"/>
      <c r="N268" s="1048"/>
    </row>
    <row r="269" spans="1:14" ht="14.45" customHeight="1">
      <c r="A269" s="1031"/>
      <c r="B269" s="1038"/>
      <c r="C269" s="881" t="s">
        <v>136</v>
      </c>
      <c r="D269" s="880"/>
      <c r="E269" s="880"/>
      <c r="F269" s="880"/>
      <c r="G269" s="880"/>
      <c r="H269" s="879">
        <f>'Green Growth Facility'!G100</f>
        <v>0</v>
      </c>
      <c r="I269" s="878" t="s">
        <v>134</v>
      </c>
      <c r="J269" s="878" t="s">
        <v>134</v>
      </c>
      <c r="K269" s="878" t="s">
        <v>134</v>
      </c>
      <c r="L269" s="321"/>
      <c r="M269" s="322"/>
      <c r="N269" s="1048"/>
    </row>
    <row r="270" spans="1:14" ht="14.45" customHeight="1">
      <c r="A270" s="1031"/>
      <c r="B270" s="1038"/>
      <c r="C270" s="882" t="s">
        <v>137</v>
      </c>
      <c r="D270" s="883"/>
      <c r="E270" s="883"/>
      <c r="F270" s="883"/>
      <c r="G270" s="883"/>
      <c r="H270" s="884">
        <f>'Green Growth Facility'!G101</f>
        <v>3</v>
      </c>
      <c r="I270" s="885" t="s">
        <v>142</v>
      </c>
      <c r="J270" s="885" t="s">
        <v>142</v>
      </c>
      <c r="K270" s="885" t="s">
        <v>142</v>
      </c>
      <c r="L270" s="321"/>
      <c r="M270" s="322"/>
      <c r="N270" s="1048"/>
    </row>
    <row r="271" spans="1:14" ht="14.45" customHeight="1">
      <c r="A271" s="1031"/>
      <c r="B271" s="1038"/>
      <c r="C271" s="578" t="s">
        <v>135</v>
      </c>
      <c r="D271" s="571"/>
      <c r="E271" s="571"/>
      <c r="F271" s="571"/>
      <c r="G271" s="571"/>
      <c r="H271" s="520">
        <f>'Green Growth Facility'!G102</f>
        <v>0</v>
      </c>
      <c r="I271" s="519" t="s">
        <v>142</v>
      </c>
      <c r="J271" s="519" t="s">
        <v>142</v>
      </c>
      <c r="K271" s="519" t="s">
        <v>142</v>
      </c>
      <c r="L271" s="321"/>
      <c r="M271" s="322"/>
      <c r="N271" s="1048"/>
    </row>
    <row r="272" spans="1:14" ht="17.45" customHeight="1">
      <c r="A272" s="1031"/>
      <c r="B272" s="1038"/>
      <c r="C272" s="578" t="s">
        <v>136</v>
      </c>
      <c r="D272" s="571"/>
      <c r="E272" s="571"/>
      <c r="F272" s="571"/>
      <c r="G272" s="571"/>
      <c r="H272" s="520">
        <f>'Green Growth Facility'!G103</f>
        <v>2</v>
      </c>
      <c r="I272" s="579" t="s">
        <v>142</v>
      </c>
      <c r="J272" s="579" t="s">
        <v>142</v>
      </c>
      <c r="K272" s="579" t="s">
        <v>142</v>
      </c>
      <c r="L272" s="322"/>
      <c r="M272" s="322"/>
      <c r="N272" s="1048"/>
    </row>
    <row r="273" spans="1:14" ht="15" customHeight="1">
      <c r="A273" s="1031"/>
      <c r="B273" s="589" t="s">
        <v>83</v>
      </c>
      <c r="C273" s="1029" t="s">
        <v>18</v>
      </c>
      <c r="D273" s="1029"/>
      <c r="E273" s="1029"/>
      <c r="F273" s="1029"/>
      <c r="G273" s="1029"/>
      <c r="H273" s="1029"/>
      <c r="I273" s="1029"/>
      <c r="J273" s="1029"/>
      <c r="K273" s="1029"/>
      <c r="L273" s="181"/>
      <c r="M273" s="181"/>
      <c r="N273" s="1048"/>
    </row>
    <row r="274" spans="1:14" ht="12.95" customHeight="1">
      <c r="A274" s="1031"/>
      <c r="B274" s="590">
        <v>0.15</v>
      </c>
      <c r="C274" s="1037" t="s">
        <v>130</v>
      </c>
      <c r="D274" s="1037"/>
      <c r="E274" s="1037"/>
      <c r="F274" s="1037"/>
      <c r="G274" s="1037"/>
      <c r="H274" s="1037"/>
      <c r="I274" s="1037"/>
      <c r="J274" s="1037"/>
      <c r="K274" s="1037"/>
      <c r="L274" s="267"/>
      <c r="M274" s="267"/>
      <c r="N274" s="1048"/>
    </row>
    <row r="275" spans="1:14" ht="15" customHeight="1">
      <c r="A275" s="1031"/>
      <c r="B275" s="721" t="s">
        <v>143</v>
      </c>
      <c r="C275" s="574"/>
      <c r="D275" s="575" t="str">
        <f>D$2</f>
        <v>Baseline (Jun-2021)</v>
      </c>
      <c r="E275" s="576">
        <f t="shared" ref="E275:K275" si="43">E$2</f>
        <v>44742</v>
      </c>
      <c r="F275" s="576">
        <f t="shared" si="43"/>
        <v>45107</v>
      </c>
      <c r="G275" s="576">
        <f t="shared" si="43"/>
        <v>45381</v>
      </c>
      <c r="H275" s="576">
        <f t="shared" si="43"/>
        <v>45746</v>
      </c>
      <c r="I275" s="576">
        <f t="shared" si="43"/>
        <v>46111</v>
      </c>
      <c r="J275" s="576">
        <f t="shared" si="43"/>
        <v>46476</v>
      </c>
      <c r="K275" s="576">
        <f t="shared" si="43"/>
        <v>46752</v>
      </c>
      <c r="L275" s="284"/>
      <c r="M275" s="284"/>
      <c r="N275" s="1048"/>
    </row>
    <row r="276" spans="1:14" ht="14.45" customHeight="1">
      <c r="A276" s="1031"/>
      <c r="B276" s="1038" t="s">
        <v>144</v>
      </c>
      <c r="C276" s="921" t="s">
        <v>29</v>
      </c>
      <c r="D276" s="925"/>
      <c r="E276" s="925"/>
      <c r="F276" s="925"/>
      <c r="G276" s="925"/>
      <c r="H276" s="926">
        <f>'Green Growth Facility'!G105</f>
        <v>0.85</v>
      </c>
      <c r="I276" s="926" t="str">
        <f>'Green Growth Facility'!H105</f>
        <v>Target set annually.</v>
      </c>
      <c r="J276" s="926" t="str">
        <f>'Green Growth Facility'!I105</f>
        <v>Target set annually.</v>
      </c>
      <c r="K276" s="926" t="str">
        <f>'Green Growth Facility'!J105</f>
        <v>Target set annually.</v>
      </c>
      <c r="L276" s="323"/>
      <c r="M276" s="308"/>
      <c r="N276" s="1048"/>
    </row>
    <row r="277" spans="1:14" ht="15" customHeight="1">
      <c r="A277" s="1031"/>
      <c r="B277" s="1038"/>
      <c r="C277" s="577" t="s">
        <v>31</v>
      </c>
      <c r="D277" s="315"/>
      <c r="E277" s="315"/>
      <c r="F277" s="315"/>
      <c r="G277" s="315"/>
      <c r="H277" s="581">
        <f>'Green Growth Facility'!G113</f>
        <v>1</v>
      </c>
      <c r="I277" s="581">
        <f>'Green Growth Facility'!H113</f>
        <v>0</v>
      </c>
      <c r="J277" s="581">
        <f>'Green Growth Facility'!I113</f>
        <v>0</v>
      </c>
      <c r="K277" s="581">
        <f>'Green Growth Facility'!J113</f>
        <v>0</v>
      </c>
      <c r="L277" s="308"/>
      <c r="M277" s="308"/>
      <c r="N277" s="1048"/>
    </row>
    <row r="278" spans="1:14" ht="15" customHeight="1">
      <c r="A278" s="1031"/>
      <c r="B278" s="589" t="s">
        <v>83</v>
      </c>
      <c r="C278" s="1029" t="s">
        <v>18</v>
      </c>
      <c r="D278" s="1029"/>
      <c r="E278" s="1029"/>
      <c r="F278" s="1029"/>
      <c r="G278" s="1029"/>
      <c r="H278" s="1029"/>
      <c r="I278" s="1029"/>
      <c r="J278" s="1029"/>
      <c r="K278" s="1029"/>
      <c r="L278" s="181"/>
      <c r="M278" s="181"/>
      <c r="N278" s="1048"/>
    </row>
    <row r="279" spans="1:14" ht="15" customHeight="1">
      <c r="A279" s="1031"/>
      <c r="B279" s="590">
        <v>0.15</v>
      </c>
      <c r="C279" s="1037" t="s">
        <v>145</v>
      </c>
      <c r="D279" s="1037"/>
      <c r="E279" s="1037"/>
      <c r="F279" s="1037"/>
      <c r="G279" s="1037"/>
      <c r="H279" s="1037"/>
      <c r="I279" s="1037"/>
      <c r="J279" s="1037"/>
      <c r="K279" s="1037"/>
      <c r="L279" s="267"/>
      <c r="M279" s="267"/>
      <c r="N279" s="1048"/>
    </row>
    <row r="280" spans="1:14" ht="13.5" customHeight="1">
      <c r="A280" s="1031"/>
      <c r="B280" s="722" t="s">
        <v>146</v>
      </c>
      <c r="C280" s="582"/>
      <c r="D280" s="575" t="str">
        <f>D$2</f>
        <v>Baseline (Jun-2021)</v>
      </c>
      <c r="E280" s="583">
        <f t="shared" ref="E280:K280" si="44">E$2</f>
        <v>44742</v>
      </c>
      <c r="F280" s="584">
        <f t="shared" si="44"/>
        <v>45107</v>
      </c>
      <c r="G280" s="584">
        <f t="shared" si="44"/>
        <v>45381</v>
      </c>
      <c r="H280" s="584">
        <f t="shared" si="44"/>
        <v>45746</v>
      </c>
      <c r="I280" s="584">
        <f t="shared" si="44"/>
        <v>46111</v>
      </c>
      <c r="J280" s="584">
        <f t="shared" si="44"/>
        <v>46476</v>
      </c>
      <c r="K280" s="576">
        <f t="shared" si="44"/>
        <v>46752</v>
      </c>
      <c r="L280" s="246"/>
      <c r="M280" s="246"/>
      <c r="N280" s="267"/>
    </row>
    <row r="281" spans="1:14" ht="14.45" customHeight="1">
      <c r="A281" s="1031"/>
      <c r="B281" s="990" t="s">
        <v>147</v>
      </c>
      <c r="C281" s="927" t="s">
        <v>29</v>
      </c>
      <c r="D281" s="928"/>
      <c r="E281" s="928"/>
      <c r="F281" s="928"/>
      <c r="G281" s="928"/>
      <c r="H281" s="929">
        <f>'Green Growth Facility'!G124</f>
        <v>0.75</v>
      </c>
      <c r="I281" s="930" t="s">
        <v>134</v>
      </c>
      <c r="J281" s="930" t="s">
        <v>134</v>
      </c>
      <c r="K281" s="930" t="s">
        <v>134</v>
      </c>
      <c r="L281" s="246"/>
      <c r="M281" s="246"/>
      <c r="N281" s="267"/>
    </row>
    <row r="282" spans="1:14" ht="24.95" customHeight="1">
      <c r="A282" s="1031"/>
      <c r="B282" s="991"/>
      <c r="C282" s="882" t="s">
        <v>31</v>
      </c>
      <c r="D282" s="873"/>
      <c r="E282" s="873"/>
      <c r="F282" s="873"/>
      <c r="G282" s="873"/>
      <c r="H282" s="886">
        <f>'Green Growth Facility'!G132</f>
        <v>0.7</v>
      </c>
      <c r="I282" s="884" t="s">
        <v>142</v>
      </c>
      <c r="J282" s="884" t="s">
        <v>142</v>
      </c>
      <c r="K282" s="884" t="s">
        <v>142</v>
      </c>
      <c r="L282" s="246"/>
      <c r="M282" s="246"/>
      <c r="N282" s="267"/>
    </row>
    <row r="283" spans="1:14" ht="21.6" customHeight="1">
      <c r="A283" s="1031"/>
      <c r="B283" s="992"/>
      <c r="C283" s="1052" t="s">
        <v>148</v>
      </c>
      <c r="D283" s="1052"/>
      <c r="E283" s="1052"/>
      <c r="F283" s="1052"/>
      <c r="G283" s="1052"/>
      <c r="H283" s="1052"/>
      <c r="I283" s="1052"/>
      <c r="J283" s="1052"/>
      <c r="K283" s="275"/>
      <c r="L283" s="246"/>
      <c r="M283" s="246"/>
      <c r="N283" s="267"/>
    </row>
    <row r="284" spans="1:14" ht="15" customHeight="1">
      <c r="A284" s="1031"/>
      <c r="B284" s="590">
        <v>0.15</v>
      </c>
      <c r="C284" s="1053"/>
      <c r="D284" s="1053"/>
      <c r="E284" s="1053"/>
      <c r="F284" s="1053"/>
      <c r="G284" s="1053"/>
      <c r="H284" s="1053"/>
      <c r="I284" s="1053"/>
      <c r="J284" s="1053"/>
      <c r="K284" s="275"/>
      <c r="L284" s="246"/>
      <c r="M284" s="246"/>
      <c r="N284" s="267"/>
    </row>
    <row r="285" spans="1:14" ht="15" customHeight="1">
      <c r="A285" s="1031"/>
      <c r="B285" s="722" t="s">
        <v>149</v>
      </c>
      <c r="C285" s="582"/>
      <c r="D285" s="585"/>
      <c r="E285" s="583">
        <f t="shared" ref="E285:K285" si="45">E$2</f>
        <v>44742</v>
      </c>
      <c r="F285" s="584">
        <f t="shared" si="45"/>
        <v>45107</v>
      </c>
      <c r="G285" s="584">
        <f t="shared" si="45"/>
        <v>45381</v>
      </c>
      <c r="H285" s="584">
        <f t="shared" si="45"/>
        <v>45746</v>
      </c>
      <c r="I285" s="584">
        <f t="shared" si="45"/>
        <v>46111</v>
      </c>
      <c r="J285" s="584">
        <f t="shared" si="45"/>
        <v>46476</v>
      </c>
      <c r="K285" s="576">
        <f t="shared" si="45"/>
        <v>46752</v>
      </c>
      <c r="L285" s="246"/>
      <c r="M285" s="246"/>
      <c r="N285" s="267"/>
    </row>
    <row r="286" spans="1:14" ht="75">
      <c r="A286" s="1031"/>
      <c r="B286" s="1038" t="s">
        <v>150</v>
      </c>
      <c r="C286" s="921" t="s">
        <v>29</v>
      </c>
      <c r="D286" s="925"/>
      <c r="E286" s="925"/>
      <c r="F286" s="925"/>
      <c r="G286" s="925"/>
      <c r="H286" s="931" t="str">
        <f>'Green Growth Facility'!G143</f>
        <v>System has been designed and put into practice in Y2 of the Programme.</v>
      </c>
      <c r="I286" s="923" t="s">
        <v>134</v>
      </c>
      <c r="J286" s="923" t="s">
        <v>134</v>
      </c>
      <c r="K286" s="923" t="s">
        <v>134</v>
      </c>
      <c r="L286" s="246"/>
      <c r="M286" s="246"/>
      <c r="N286" s="267"/>
    </row>
    <row r="287" spans="1:14" ht="62.45">
      <c r="A287" s="1031"/>
      <c r="B287" s="1038"/>
      <c r="C287" s="874" t="s">
        <v>31</v>
      </c>
      <c r="D287" s="866"/>
      <c r="E287" s="866"/>
      <c r="F287" s="866"/>
      <c r="G287" s="866"/>
      <c r="H287" s="887" t="str">
        <f>'Green Growth Facility'!G144</f>
        <v>MEL system had been designed and put into place in Y2</v>
      </c>
      <c r="I287" s="876" t="s">
        <v>142</v>
      </c>
      <c r="J287" s="876" t="s">
        <v>142</v>
      </c>
      <c r="K287" s="876" t="s">
        <v>142</v>
      </c>
      <c r="L287" s="246"/>
      <c r="M287" s="246"/>
      <c r="N287" s="267"/>
    </row>
    <row r="288" spans="1:14" ht="15" customHeight="1">
      <c r="A288" s="1031"/>
      <c r="B288" s="1038"/>
      <c r="C288" s="1052" t="s">
        <v>148</v>
      </c>
      <c r="D288" s="1052"/>
      <c r="E288" s="1052"/>
      <c r="F288" s="1052"/>
      <c r="G288" s="1052"/>
      <c r="H288" s="1052"/>
      <c r="I288" s="1052"/>
      <c r="J288" s="1052"/>
      <c r="K288" s="275"/>
      <c r="L288" s="246"/>
      <c r="M288" s="246"/>
      <c r="N288" s="267"/>
    </row>
    <row r="289" spans="1:14" ht="15" customHeight="1" thickBot="1">
      <c r="A289" s="1031"/>
      <c r="B289" s="1038"/>
      <c r="C289" s="1053"/>
      <c r="D289" s="1053"/>
      <c r="E289" s="1053"/>
      <c r="F289" s="1053"/>
      <c r="G289" s="1053"/>
      <c r="H289" s="1053"/>
      <c r="I289" s="1053"/>
      <c r="J289" s="1053"/>
      <c r="K289" s="275"/>
      <c r="L289" s="246"/>
      <c r="M289" s="246"/>
      <c r="N289" s="267"/>
    </row>
    <row r="290" spans="1:14" ht="13.5" thickBot="1">
      <c r="A290" s="717" t="s">
        <v>97</v>
      </c>
      <c r="B290" s="717" t="s">
        <v>83</v>
      </c>
      <c r="C290" s="1000" t="s">
        <v>18</v>
      </c>
      <c r="D290" s="1001"/>
      <c r="E290" s="1001"/>
      <c r="F290" s="1001"/>
      <c r="G290" s="1001"/>
      <c r="H290" s="1001"/>
      <c r="I290" s="1001"/>
      <c r="J290" s="1001"/>
      <c r="K290" s="1002"/>
      <c r="L290" s="181"/>
      <c r="M290" s="181"/>
      <c r="N290" s="267"/>
    </row>
    <row r="291" spans="1:14" ht="12.95" thickBot="1">
      <c r="A291" s="718">
        <v>0.3</v>
      </c>
      <c r="B291" s="718">
        <v>0.15</v>
      </c>
      <c r="C291" s="993"/>
      <c r="D291" s="994"/>
      <c r="E291" s="994"/>
      <c r="F291" s="994"/>
      <c r="G291" s="994"/>
      <c r="H291" s="994"/>
      <c r="I291" s="994"/>
      <c r="J291" s="994"/>
      <c r="K291" s="995"/>
      <c r="L291" s="267"/>
      <c r="M291" s="267"/>
      <c r="N291" s="267"/>
    </row>
    <row r="292" spans="1:14" ht="24.75" customHeight="1" thickBot="1">
      <c r="A292" s="731" t="s">
        <v>98</v>
      </c>
      <c r="B292" s="723">
        <v>11000000</v>
      </c>
      <c r="C292" s="572" t="s">
        <v>99</v>
      </c>
      <c r="D292" s="1039" t="s">
        <v>151</v>
      </c>
      <c r="E292" s="1040"/>
      <c r="F292" s="1040"/>
      <c r="G292" s="1040"/>
      <c r="H292" s="1040"/>
      <c r="I292" s="1040"/>
      <c r="J292" s="1040"/>
      <c r="K292" s="1040"/>
      <c r="L292" s="1040"/>
      <c r="M292" s="1040"/>
      <c r="N292" s="1041"/>
    </row>
    <row r="293" spans="1:14" ht="13.5" thickBot="1">
      <c r="A293" s="730" t="s">
        <v>152</v>
      </c>
      <c r="B293" s="712" t="s">
        <v>153</v>
      </c>
      <c r="C293" s="247"/>
      <c r="D293" s="138" t="str">
        <f>D$2</f>
        <v>Baseline (Jun-2021)</v>
      </c>
      <c r="E293" s="139">
        <f t="shared" ref="E293:K293" si="46">E$2</f>
        <v>44742</v>
      </c>
      <c r="F293" s="139">
        <f t="shared" si="46"/>
        <v>45107</v>
      </c>
      <c r="G293" s="139">
        <f t="shared" si="46"/>
        <v>45381</v>
      </c>
      <c r="H293" s="139">
        <f t="shared" si="46"/>
        <v>45746</v>
      </c>
      <c r="I293" s="139">
        <f t="shared" si="46"/>
        <v>46111</v>
      </c>
      <c r="J293" s="140">
        <f t="shared" si="46"/>
        <v>46476</v>
      </c>
      <c r="K293" s="254">
        <f t="shared" si="46"/>
        <v>46752</v>
      </c>
      <c r="L293" s="307"/>
      <c r="M293" s="307"/>
      <c r="N293" s="212" t="s">
        <v>35</v>
      </c>
    </row>
    <row r="294" spans="1:14" ht="58.5" customHeight="1" thickBot="1">
      <c r="A294" s="996" t="s">
        <v>154</v>
      </c>
      <c r="B294" s="1054" t="s">
        <v>155</v>
      </c>
      <c r="C294" s="919" t="s">
        <v>29</v>
      </c>
      <c r="D294" s="1036"/>
      <c r="E294" s="1036"/>
      <c r="F294" s="920" t="str">
        <f>IF(ISERROR((#REF!+#REF!)/(#REF!+#REF!)),"-",TEXT(#REF!+#REF!,"£0,0") &amp; " (" &amp; TEXT((#REF!+#REF!)/(#REF!+#REF!),"0%") &amp; ")")</f>
        <v>-</v>
      </c>
      <c r="G294" s="920"/>
      <c r="H294" s="985" t="s">
        <v>156</v>
      </c>
      <c r="I294" s="923" t="s">
        <v>134</v>
      </c>
      <c r="J294" s="923" t="s">
        <v>134</v>
      </c>
      <c r="K294" s="923" t="s">
        <v>134</v>
      </c>
      <c r="L294" s="308"/>
      <c r="M294" s="308"/>
      <c r="N294" s="597"/>
    </row>
    <row r="295" spans="1:14" ht="59.25" customHeight="1" thickBot="1">
      <c r="A295" s="996"/>
      <c r="B295" s="1054"/>
      <c r="C295" s="855" t="s">
        <v>31</v>
      </c>
      <c r="D295" s="866"/>
      <c r="E295" s="845" t="e">
        <v>#REF!</v>
      </c>
      <c r="F295" s="845" t="str">
        <f>IF(ISERROR((#REF!+#REF!)/(#REF!+#REF!)),"-",TEXT(#REF!+#REF!,"£0,0") &amp; " (" &amp; TEXT((#REF!+#REF!)/(#REF!+#REF!),"0%") &amp; ")")</f>
        <v>-</v>
      </c>
      <c r="G295" s="845"/>
      <c r="H295" s="986" t="s">
        <v>157</v>
      </c>
      <c r="I295" s="845"/>
      <c r="J295" s="845"/>
      <c r="K295" s="845"/>
      <c r="L295" s="308"/>
      <c r="M295" s="308"/>
      <c r="N295" s="597"/>
    </row>
    <row r="296" spans="1:14" ht="15" customHeight="1" thickBot="1">
      <c r="A296" s="996"/>
      <c r="B296" s="589" t="s">
        <v>83</v>
      </c>
      <c r="C296" s="1029" t="s">
        <v>18</v>
      </c>
      <c r="D296" s="1029"/>
      <c r="E296" s="1029"/>
      <c r="F296" s="1029"/>
      <c r="G296" s="1029"/>
      <c r="H296" s="1029"/>
      <c r="I296" s="1029"/>
      <c r="J296" s="1029"/>
      <c r="K296" s="1029"/>
      <c r="L296" s="181"/>
      <c r="M296" s="181"/>
      <c r="N296" s="597"/>
    </row>
    <row r="297" spans="1:14" ht="12.95" customHeight="1" thickBot="1">
      <c r="A297" s="996"/>
      <c r="B297" s="590">
        <v>0.5</v>
      </c>
      <c r="C297" s="1037" t="s">
        <v>130</v>
      </c>
      <c r="D297" s="1037"/>
      <c r="E297" s="1037"/>
      <c r="F297" s="1037"/>
      <c r="G297" s="1037"/>
      <c r="H297" s="1037"/>
      <c r="I297" s="1037"/>
      <c r="J297" s="1037"/>
      <c r="K297" s="1037"/>
      <c r="L297" s="267"/>
      <c r="M297" s="267"/>
      <c r="N297" s="597"/>
    </row>
    <row r="298" spans="1:14" ht="15" customHeight="1" thickBot="1">
      <c r="A298" s="996"/>
      <c r="B298" s="721" t="s">
        <v>158</v>
      </c>
      <c r="C298" s="574"/>
      <c r="D298" s="575" t="str">
        <f>D$2</f>
        <v>Baseline (Jun-2021)</v>
      </c>
      <c r="E298" s="576">
        <f t="shared" ref="E298:K298" si="47">E$2</f>
        <v>44742</v>
      </c>
      <c r="F298" s="576">
        <f t="shared" si="47"/>
        <v>45107</v>
      </c>
      <c r="G298" s="576">
        <f t="shared" si="47"/>
        <v>45381</v>
      </c>
      <c r="H298" s="576">
        <f t="shared" si="47"/>
        <v>45746</v>
      </c>
      <c r="I298" s="576">
        <f t="shared" si="47"/>
        <v>46111</v>
      </c>
      <c r="J298" s="576">
        <f t="shared" si="47"/>
        <v>46476</v>
      </c>
      <c r="K298" s="576">
        <f t="shared" si="47"/>
        <v>46752</v>
      </c>
      <c r="L298" s="284"/>
      <c r="M298" s="284"/>
      <c r="N298" s="597"/>
    </row>
    <row r="299" spans="1:14" ht="47.25" customHeight="1" thickBot="1">
      <c r="A299" s="996"/>
      <c r="B299" s="998" t="s">
        <v>159</v>
      </c>
      <c r="C299" s="921" t="s">
        <v>29</v>
      </c>
      <c r="D299" s="922"/>
      <c r="E299" s="922"/>
      <c r="F299" s="922"/>
      <c r="G299" s="922"/>
      <c r="H299" s="931" t="s">
        <v>160</v>
      </c>
      <c r="I299" s="923" t="s">
        <v>134</v>
      </c>
      <c r="J299" s="923" t="s">
        <v>134</v>
      </c>
      <c r="K299" s="923" t="s">
        <v>134</v>
      </c>
      <c r="L299" s="308"/>
      <c r="M299" s="308"/>
      <c r="N299" s="597"/>
    </row>
    <row r="300" spans="1:14" ht="52.5" customHeight="1" thickBot="1">
      <c r="A300" s="997"/>
      <c r="B300" s="999"/>
      <c r="C300" s="855" t="s">
        <v>31</v>
      </c>
      <c r="D300" s="866"/>
      <c r="E300" s="845" t="e">
        <v>#REF!</v>
      </c>
      <c r="F300" s="845" t="str">
        <f>IF(ISERROR((#REF!+#REF!)/(#REF!+#REF!)),"-",TEXT(#REF!+#REF!,"£0,0") &amp; " (" &amp; TEXT((#REF!+#REF!)/(#REF!+#REF!),"0%") &amp; ")")</f>
        <v>-</v>
      </c>
      <c r="G300" s="845"/>
      <c r="H300" s="986" t="s">
        <v>161</v>
      </c>
      <c r="I300" s="845"/>
      <c r="J300" s="845"/>
      <c r="K300" s="845"/>
      <c r="L300" s="308"/>
      <c r="M300" s="308"/>
      <c r="N300" s="597"/>
    </row>
    <row r="301" spans="1:14" ht="13.5" thickBot="1">
      <c r="A301" s="717" t="s">
        <v>97</v>
      </c>
      <c r="B301" s="717" t="s">
        <v>83</v>
      </c>
      <c r="C301" s="1000" t="s">
        <v>18</v>
      </c>
      <c r="D301" s="1001"/>
      <c r="E301" s="1001"/>
      <c r="F301" s="1001"/>
      <c r="G301" s="1001"/>
      <c r="H301" s="1001"/>
      <c r="I301" s="1001"/>
      <c r="J301" s="1001"/>
      <c r="K301" s="1002"/>
      <c r="L301" s="181"/>
      <c r="M301" s="181"/>
      <c r="N301" s="597"/>
    </row>
    <row r="302" spans="1:14" ht="13.5" thickBot="1">
      <c r="A302" s="718">
        <v>0.05</v>
      </c>
      <c r="B302" s="718">
        <v>0.5</v>
      </c>
      <c r="C302" s="993" t="s">
        <v>162</v>
      </c>
      <c r="D302" s="994"/>
      <c r="E302" s="994"/>
      <c r="F302" s="994"/>
      <c r="G302" s="994"/>
      <c r="H302" s="994"/>
      <c r="I302" s="994"/>
      <c r="J302" s="994"/>
      <c r="K302" s="995"/>
      <c r="L302" s="267"/>
      <c r="M302" s="267"/>
      <c r="N302" s="597"/>
    </row>
    <row r="303" spans="1:14" ht="13.5" customHeight="1" thickBot="1">
      <c r="A303" s="729" t="s">
        <v>98</v>
      </c>
      <c r="B303" s="720">
        <v>16500000</v>
      </c>
      <c r="C303" s="306" t="s">
        <v>99</v>
      </c>
      <c r="D303" s="1039" t="s">
        <v>124</v>
      </c>
      <c r="E303" s="1040"/>
      <c r="F303" s="1040"/>
      <c r="G303" s="1040"/>
      <c r="H303" s="1040"/>
      <c r="I303" s="1040"/>
      <c r="J303" s="1040"/>
      <c r="K303" s="1040"/>
      <c r="L303" s="1040"/>
      <c r="M303" s="1040"/>
      <c r="N303" s="1041"/>
    </row>
    <row r="304" spans="1:14" s="598" customFormat="1" ht="13.5" thickBot="1">
      <c r="A304" s="732"/>
      <c r="B304" s="724"/>
      <c r="C304" s="594"/>
      <c r="D304" s="594"/>
      <c r="E304" s="595"/>
      <c r="F304" s="595"/>
      <c r="G304" s="595"/>
      <c r="H304" s="595"/>
      <c r="I304" s="595"/>
      <c r="J304" s="595"/>
      <c r="K304" s="595"/>
      <c r="L304" s="596"/>
      <c r="M304" s="596"/>
      <c r="N304" s="597"/>
    </row>
    <row r="305" spans="1:14" ht="21.75" customHeight="1" thickBot="1">
      <c r="A305" s="727" t="s">
        <v>163</v>
      </c>
      <c r="B305" s="725">
        <f>SUM(B292,B241,B187)</f>
        <v>35000000</v>
      </c>
      <c r="C305" s="207" t="s">
        <v>164</v>
      </c>
      <c r="D305" s="1049" t="s">
        <v>165</v>
      </c>
      <c r="E305" s="1050"/>
      <c r="F305" s="1050"/>
      <c r="G305" s="1050"/>
      <c r="H305" s="1050"/>
      <c r="I305" s="1050"/>
      <c r="J305" s="1050"/>
      <c r="K305" s="1050"/>
      <c r="L305" s="1050"/>
      <c r="M305" s="1050"/>
      <c r="N305" s="1051"/>
    </row>
  </sheetData>
  <mergeCells count="135">
    <mergeCell ref="M149:M152"/>
    <mergeCell ref="B166:B167"/>
    <mergeCell ref="D303:N303"/>
    <mergeCell ref="C168:K168"/>
    <mergeCell ref="C169:K169"/>
    <mergeCell ref="A1:I1"/>
    <mergeCell ref="J1:N1"/>
    <mergeCell ref="A3:A54"/>
    <mergeCell ref="B3:B32"/>
    <mergeCell ref="B34:B49"/>
    <mergeCell ref="B51:B54"/>
    <mergeCell ref="A57:A145"/>
    <mergeCell ref="N57:N144"/>
    <mergeCell ref="C71:K71"/>
    <mergeCell ref="C72:K72"/>
    <mergeCell ref="B75:B90"/>
    <mergeCell ref="C89:K89"/>
    <mergeCell ref="C143:M143"/>
    <mergeCell ref="B134:B137"/>
    <mergeCell ref="C136:K136"/>
    <mergeCell ref="C137:K137"/>
    <mergeCell ref="M58:M71"/>
    <mergeCell ref="M92:M119"/>
    <mergeCell ref="M123:M130"/>
    <mergeCell ref="M134:M137"/>
    <mergeCell ref="B57:B72"/>
    <mergeCell ref="C90:K90"/>
    <mergeCell ref="B92:B121"/>
    <mergeCell ref="C120:K120"/>
    <mergeCell ref="C121:K121"/>
    <mergeCell ref="B123:B132"/>
    <mergeCell ref="M235:M238"/>
    <mergeCell ref="A154:A184"/>
    <mergeCell ref="B154:B155"/>
    <mergeCell ref="D154:E154"/>
    <mergeCell ref="B195:B198"/>
    <mergeCell ref="C199:K199"/>
    <mergeCell ref="C200:K200"/>
    <mergeCell ref="B202:B205"/>
    <mergeCell ref="C206:K206"/>
    <mergeCell ref="C207:K207"/>
    <mergeCell ref="B235:B238"/>
    <mergeCell ref="C211:K211"/>
    <mergeCell ref="C212:K212"/>
    <mergeCell ref="B214:B217"/>
    <mergeCell ref="C218:K218"/>
    <mergeCell ref="C219:K219"/>
    <mergeCell ref="B221:B224"/>
    <mergeCell ref="N154:N186"/>
    <mergeCell ref="C156:K156"/>
    <mergeCell ref="C157:K157"/>
    <mergeCell ref="B159:B162"/>
    <mergeCell ref="C163:K163"/>
    <mergeCell ref="C164:K164"/>
    <mergeCell ref="B171:B172"/>
    <mergeCell ref="C173:K173"/>
    <mergeCell ref="C174:K174"/>
    <mergeCell ref="B176:B177"/>
    <mergeCell ref="C178:K178"/>
    <mergeCell ref="C179:K179"/>
    <mergeCell ref="C185:K185"/>
    <mergeCell ref="C186:K186"/>
    <mergeCell ref="B181:B184"/>
    <mergeCell ref="C192:K192"/>
    <mergeCell ref="C225:K225"/>
    <mergeCell ref="D305:N305"/>
    <mergeCell ref="C273:K273"/>
    <mergeCell ref="C274:K274"/>
    <mergeCell ref="B276:B277"/>
    <mergeCell ref="C278:K278"/>
    <mergeCell ref="C279:K279"/>
    <mergeCell ref="D292:N292"/>
    <mergeCell ref="B267:B272"/>
    <mergeCell ref="C283:J283"/>
    <mergeCell ref="C284:J284"/>
    <mergeCell ref="B286:B289"/>
    <mergeCell ref="C288:J288"/>
    <mergeCell ref="C289:J289"/>
    <mergeCell ref="C290:K290"/>
    <mergeCell ref="C291:K291"/>
    <mergeCell ref="B294:B295"/>
    <mergeCell ref="D294:E294"/>
    <mergeCell ref="C296:K296"/>
    <mergeCell ref="C297:K297"/>
    <mergeCell ref="N244:N279"/>
    <mergeCell ref="C246:K246"/>
    <mergeCell ref="C247:K247"/>
    <mergeCell ref="C152:K152"/>
    <mergeCell ref="C255:K255"/>
    <mergeCell ref="B139:B144"/>
    <mergeCell ref="C144:K144"/>
    <mergeCell ref="A244:A289"/>
    <mergeCell ref="B228:B231"/>
    <mergeCell ref="C232:K232"/>
    <mergeCell ref="C233:K233"/>
    <mergeCell ref="B244:B245"/>
    <mergeCell ref="D244:E244"/>
    <mergeCell ref="C256:K256"/>
    <mergeCell ref="B258:B263"/>
    <mergeCell ref="C264:K264"/>
    <mergeCell ref="C265:K265"/>
    <mergeCell ref="B249:B254"/>
    <mergeCell ref="C239:K239"/>
    <mergeCell ref="C240:K240"/>
    <mergeCell ref="D241:N241"/>
    <mergeCell ref="B209:B210"/>
    <mergeCell ref="D187:N187"/>
    <mergeCell ref="A190:A238"/>
    <mergeCell ref="B190:B191"/>
    <mergeCell ref="D190:E190"/>
    <mergeCell ref="N190:N240"/>
    <mergeCell ref="B281:B283"/>
    <mergeCell ref="C193:K193"/>
    <mergeCell ref="A294:A300"/>
    <mergeCell ref="B299:B300"/>
    <mergeCell ref="C301:K301"/>
    <mergeCell ref="C302:K302"/>
    <mergeCell ref="M76:M88"/>
    <mergeCell ref="M214:M217"/>
    <mergeCell ref="M209:M210"/>
    <mergeCell ref="M202:M205"/>
    <mergeCell ref="M195:M198"/>
    <mergeCell ref="M221:M224"/>
    <mergeCell ref="M228:M231"/>
    <mergeCell ref="C131:K131"/>
    <mergeCell ref="C132:K132"/>
    <mergeCell ref="C226:K226"/>
    <mergeCell ref="M159:M162"/>
    <mergeCell ref="M171:M172"/>
    <mergeCell ref="M176:M177"/>
    <mergeCell ref="M181:M184"/>
    <mergeCell ref="M145:M147"/>
    <mergeCell ref="B146:B148"/>
    <mergeCell ref="C148:M148"/>
    <mergeCell ref="B150:B152"/>
  </mergeCells>
  <printOptions horizontalCentered="1"/>
  <pageMargins left="0.23622047244094491" right="0.23622047244094491" top="0.55118110236220474" bottom="0.55118110236220474" header="0.31496062992125984" footer="0.31496062992125984"/>
  <pageSetup paperSize="8" scale="77" fitToHeight="0" orientation="landscape" r:id="rId1"/>
  <headerFooter alignWithMargins="0">
    <oddFooter>&amp;CPage &amp;P of &amp;N</oddFooter>
  </headerFooter>
  <rowBreaks count="3" manualBreakCount="3">
    <brk id="152" max="11" man="1"/>
    <brk id="188" max="11" man="1"/>
    <brk id="241" max="1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E86EF-2F3E-45AB-B971-BADDC4F55BE8}">
  <sheetPr>
    <pageSetUpPr fitToPage="1"/>
  </sheetPr>
  <dimension ref="A1:ABE476"/>
  <sheetViews>
    <sheetView zoomScale="96" zoomScaleNormal="96" workbookViewId="0">
      <pane xSplit="2" ySplit="2" topLeftCell="D30" activePane="bottomRight" state="frozen"/>
      <selection pane="bottomRight" activeCell="E7" sqref="E7"/>
      <selection pane="bottomLeft" activeCell="A3" sqref="A3"/>
      <selection pane="topRight" activeCell="C1" sqref="C1"/>
    </sheetView>
  </sheetViews>
  <sheetFormatPr defaultColWidth="8.85546875" defaultRowHeight="9.9499999999999993"/>
  <cols>
    <col min="1" max="1" width="15.42578125" style="6" customWidth="1"/>
    <col min="2" max="2" width="20.5703125" style="711" customWidth="1"/>
    <col min="3" max="3" width="11.140625" style="97" customWidth="1"/>
    <col min="4" max="5" width="11.140625" style="98" customWidth="1"/>
    <col min="6" max="6" width="11.140625" style="99" customWidth="1"/>
    <col min="7" max="7" width="11.140625" style="98" customWidth="1"/>
    <col min="8" max="8" width="11.140625" style="99" customWidth="1"/>
    <col min="9" max="10" width="11.140625" style="98" customWidth="1"/>
    <col min="11" max="11" width="15.28515625" style="98" customWidth="1"/>
    <col min="12" max="13" width="11.140625" style="98" customWidth="1"/>
    <col min="14" max="14" width="13.42578125" style="134" customWidth="1"/>
    <col min="15" max="15" width="14.140625" style="710" bestFit="1" customWidth="1"/>
    <col min="16" max="16" width="14.42578125" style="98" customWidth="1"/>
    <col min="17" max="17" width="17.5703125" style="98" customWidth="1"/>
    <col min="18" max="18" width="19.140625" style="98" customWidth="1"/>
    <col min="19" max="19" width="20.85546875" style="98" customWidth="1"/>
    <col min="20" max="16384" width="8.85546875" style="6"/>
  </cols>
  <sheetData>
    <row r="1" spans="1:19" ht="17.100000000000001" customHeight="1" thickBot="1">
      <c r="A1" s="1107" t="s">
        <v>10</v>
      </c>
      <c r="B1" s="1108"/>
      <c r="C1" s="1108"/>
      <c r="D1" s="1108"/>
      <c r="E1" s="1108"/>
      <c r="F1" s="1108"/>
      <c r="G1" s="1108"/>
      <c r="H1" s="1108"/>
      <c r="I1" s="1108"/>
      <c r="J1" s="1108"/>
      <c r="K1" s="1108"/>
      <c r="L1" s="1108"/>
      <c r="M1" s="1108"/>
      <c r="N1" s="1108"/>
      <c r="O1" s="1108"/>
      <c r="P1" s="1108"/>
      <c r="Q1" s="1108"/>
      <c r="R1" s="1109"/>
      <c r="S1" s="1110"/>
    </row>
    <row r="2" spans="1:19" ht="21.6" thickBot="1">
      <c r="A2" s="7" t="s">
        <v>2</v>
      </c>
      <c r="B2" s="8" t="s">
        <v>3</v>
      </c>
      <c r="C2" s="9"/>
      <c r="D2" s="10" t="s">
        <v>166</v>
      </c>
      <c r="E2" s="11">
        <v>44742</v>
      </c>
      <c r="F2" s="11" t="s">
        <v>167</v>
      </c>
      <c r="G2" s="11">
        <v>44805</v>
      </c>
      <c r="H2" s="11" t="s">
        <v>168</v>
      </c>
      <c r="I2" s="11">
        <v>45107</v>
      </c>
      <c r="J2" s="11" t="s">
        <v>169</v>
      </c>
      <c r="K2" s="602">
        <v>45352</v>
      </c>
      <c r="L2" s="602" t="s">
        <v>170</v>
      </c>
      <c r="M2" s="11">
        <v>45473</v>
      </c>
      <c r="N2" s="12">
        <v>45717</v>
      </c>
      <c r="O2" s="599" t="s">
        <v>171</v>
      </c>
      <c r="P2" s="603">
        <v>46111</v>
      </c>
      <c r="Q2" s="11">
        <v>46477</v>
      </c>
      <c r="R2" s="12" t="s">
        <v>172</v>
      </c>
      <c r="S2" s="1111" t="s">
        <v>173</v>
      </c>
    </row>
    <row r="3" spans="1:19" ht="11.1" thickBot="1">
      <c r="A3" s="1115" t="s">
        <v>7</v>
      </c>
      <c r="B3" s="1118" t="s">
        <v>174</v>
      </c>
      <c r="C3" s="13" t="s">
        <v>175</v>
      </c>
      <c r="D3" s="14">
        <v>0</v>
      </c>
      <c r="E3" s="15">
        <f>(((E81*10)*0.1)*0.25)+D3</f>
        <v>5.9375</v>
      </c>
      <c r="F3" s="16"/>
      <c r="G3" s="15"/>
      <c r="H3" s="16"/>
      <c r="I3" s="15">
        <f>(((I81*10)*0.1)*0.25)+E3</f>
        <v>20.9375</v>
      </c>
      <c r="J3" s="15"/>
      <c r="K3" s="15">
        <f>0.75*M3</f>
        <v>36.328125</v>
      </c>
      <c r="L3" s="15"/>
      <c r="M3" s="15">
        <f>(((M81*10)*0.1)*0.25)+I3</f>
        <v>48.4375</v>
      </c>
      <c r="N3" s="604">
        <v>55.753125000000004</v>
      </c>
      <c r="O3" s="15"/>
      <c r="P3" s="605">
        <v>68.353125000000006</v>
      </c>
      <c r="Q3" s="15">
        <f>P3</f>
        <v>68.353125000000006</v>
      </c>
      <c r="R3" s="52">
        <f t="shared" ref="R3:R6" si="0">IF(Q3,0,P3)</f>
        <v>0</v>
      </c>
      <c r="S3" s="1112"/>
    </row>
    <row r="4" spans="1:19" ht="11.1" thickBot="1">
      <c r="A4" s="1116"/>
      <c r="B4" s="1119"/>
      <c r="C4" s="17" t="s">
        <v>12</v>
      </c>
      <c r="D4" s="14">
        <v>0</v>
      </c>
      <c r="E4" s="18">
        <f>E3*0.3</f>
        <v>1.78125</v>
      </c>
      <c r="F4" s="19"/>
      <c r="G4" s="18"/>
      <c r="H4" s="19"/>
      <c r="I4" s="18">
        <f t="shared" ref="I4" si="1">I3*0.3</f>
        <v>6.28125</v>
      </c>
      <c r="J4" s="18"/>
      <c r="K4" s="18">
        <f>0.3*K3</f>
        <v>10.8984375</v>
      </c>
      <c r="L4" s="18"/>
      <c r="M4" s="18">
        <f>M3*0.3</f>
        <v>14.53125</v>
      </c>
      <c r="N4" s="606">
        <v>16.725937500000001</v>
      </c>
      <c r="O4" s="18"/>
      <c r="P4" s="607">
        <v>20.505937500000002</v>
      </c>
      <c r="Q4" s="18">
        <f>P4</f>
        <v>20.505937500000002</v>
      </c>
      <c r="R4" s="52">
        <f t="shared" si="0"/>
        <v>0</v>
      </c>
      <c r="S4" s="1112"/>
    </row>
    <row r="5" spans="1:19" ht="21.6" thickBot="1">
      <c r="A5" s="1116"/>
      <c r="B5" s="1119"/>
      <c r="C5" s="20" t="s">
        <v>176</v>
      </c>
      <c r="D5" s="14">
        <v>0</v>
      </c>
      <c r="E5" s="15">
        <f>(((E81*775)*0.1)*0.25)+D5</f>
        <v>460.15625</v>
      </c>
      <c r="F5" s="16"/>
      <c r="G5" s="15"/>
      <c r="H5" s="16"/>
      <c r="I5" s="15">
        <f>(((I81*775)*0.1)*0.25)+E5</f>
        <v>1622.65625</v>
      </c>
      <c r="J5" s="15"/>
      <c r="K5" s="15">
        <f t="shared" ref="K5" si="2">0.75*M5</f>
        <v>2815.4296875</v>
      </c>
      <c r="L5" s="15"/>
      <c r="M5" s="15">
        <f>(((M81*775)*0.1)*0.25)+I5</f>
        <v>3753.90625</v>
      </c>
      <c r="N5" s="604">
        <v>4083.6046874999997</v>
      </c>
      <c r="O5" s="15"/>
      <c r="P5" s="605">
        <v>4906.2046874999996</v>
      </c>
      <c r="Q5" s="15">
        <f>P5</f>
        <v>4906.2046874999996</v>
      </c>
      <c r="R5" s="52">
        <f t="shared" si="0"/>
        <v>0</v>
      </c>
      <c r="S5" s="1112"/>
    </row>
    <row r="6" spans="1:19" ht="11.1" thickBot="1">
      <c r="A6" s="1116"/>
      <c r="B6" s="1119"/>
      <c r="C6" s="21" t="s">
        <v>12</v>
      </c>
      <c r="D6" s="14">
        <v>0</v>
      </c>
      <c r="E6" s="22">
        <f>E5*0.3</f>
        <v>138.046875</v>
      </c>
      <c r="F6" s="23"/>
      <c r="G6" s="22"/>
      <c r="H6" s="23"/>
      <c r="I6" s="22">
        <f t="shared" ref="I6:M6" si="3">I5*0.3</f>
        <v>486.796875</v>
      </c>
      <c r="J6" s="22"/>
      <c r="K6" s="22">
        <f>0.3*K5</f>
        <v>844.62890625</v>
      </c>
      <c r="L6" s="22"/>
      <c r="M6" s="22">
        <f t="shared" si="3"/>
        <v>1126.171875</v>
      </c>
      <c r="N6" s="608">
        <v>1225.0814062499999</v>
      </c>
      <c r="O6" s="22"/>
      <c r="P6" s="609">
        <v>1471.8614062499998</v>
      </c>
      <c r="Q6" s="22">
        <f>P6</f>
        <v>1471.8614062499998</v>
      </c>
      <c r="R6" s="52">
        <f t="shared" si="0"/>
        <v>0</v>
      </c>
      <c r="S6" s="1112"/>
    </row>
    <row r="7" spans="1:19" ht="60">
      <c r="A7" s="1116"/>
      <c r="B7" s="1119"/>
      <c r="C7" s="24" t="s">
        <v>177</v>
      </c>
      <c r="D7" s="25">
        <v>0</v>
      </c>
      <c r="E7" s="22">
        <f>(368*0.1)*0.25</f>
        <v>9.2000000000000011</v>
      </c>
      <c r="F7" s="26" t="s">
        <v>178</v>
      </c>
      <c r="G7" s="22">
        <f>(506*0.1)*0.25</f>
        <v>12.65</v>
      </c>
      <c r="H7" s="26" t="s">
        <v>179</v>
      </c>
      <c r="I7" s="22">
        <f>(890*0.1)*0.25</f>
        <v>22.25</v>
      </c>
      <c r="J7" s="26" t="s">
        <v>180</v>
      </c>
      <c r="K7" s="22">
        <v>29.6</v>
      </c>
      <c r="L7" s="22"/>
      <c r="M7" s="610"/>
      <c r="N7" s="611">
        <f>2328*0.1*0.25</f>
        <v>58.2</v>
      </c>
      <c r="O7" s="612" t="s">
        <v>181</v>
      </c>
      <c r="P7" s="609"/>
      <c r="Q7" s="22"/>
      <c r="R7" s="27"/>
      <c r="S7" s="1112"/>
    </row>
    <row r="8" spans="1:19" ht="10.5">
      <c r="A8" s="1116"/>
      <c r="B8" s="1119"/>
      <c r="C8" s="17" t="s">
        <v>12</v>
      </c>
      <c r="D8" s="28">
        <v>0</v>
      </c>
      <c r="E8" s="22">
        <f>(109*0.1)*0.25</f>
        <v>2.7250000000000001</v>
      </c>
      <c r="F8" s="26" t="s">
        <v>182</v>
      </c>
      <c r="G8" s="22">
        <f>(153*0.1)*0.25</f>
        <v>3.8250000000000002</v>
      </c>
      <c r="H8" s="26" t="s">
        <v>183</v>
      </c>
      <c r="I8" s="22">
        <f>(249*0.1)*0.25</f>
        <v>6.2250000000000005</v>
      </c>
      <c r="J8" s="26" t="s">
        <v>184</v>
      </c>
      <c r="K8" s="29">
        <v>8.5250000000000004</v>
      </c>
      <c r="L8" s="29"/>
      <c r="M8" s="29"/>
      <c r="N8" s="600">
        <f>0.3*N7</f>
        <v>17.46</v>
      </c>
      <c r="O8" s="612" t="s">
        <v>185</v>
      </c>
      <c r="P8" s="613"/>
      <c r="Q8" s="29"/>
      <c r="R8" s="29"/>
      <c r="S8" s="1112"/>
    </row>
    <row r="9" spans="1:19" ht="210">
      <c r="A9" s="1116"/>
      <c r="B9" s="1119"/>
      <c r="C9" s="20" t="s">
        <v>186</v>
      </c>
      <c r="D9" s="28">
        <v>0</v>
      </c>
      <c r="E9" s="22">
        <f>(13248*0.1)*0.25</f>
        <v>331.20000000000005</v>
      </c>
      <c r="F9" s="26" t="s">
        <v>187</v>
      </c>
      <c r="G9" s="22">
        <f>(17914*0.1)*0.25</f>
        <v>447.85</v>
      </c>
      <c r="H9" s="26" t="s">
        <v>188</v>
      </c>
      <c r="I9" s="22">
        <f>(45019*0.1)*0.25</f>
        <v>1125.4750000000001</v>
      </c>
      <c r="J9" s="26" t="s">
        <v>189</v>
      </c>
      <c r="K9" s="614">
        <v>1300</v>
      </c>
      <c r="L9" s="615"/>
      <c r="M9" s="30"/>
      <c r="N9" s="616">
        <f>(105848)*0.1*0.25</f>
        <v>2646.2000000000003</v>
      </c>
      <c r="O9" s="601" t="s">
        <v>190</v>
      </c>
      <c r="P9" s="617"/>
      <c r="Q9" s="31"/>
      <c r="R9" s="31"/>
      <c r="S9" s="1112"/>
    </row>
    <row r="10" spans="1:19" ht="174.6" customHeight="1" thickBot="1">
      <c r="A10" s="1116"/>
      <c r="B10" s="1119"/>
      <c r="C10" s="21" t="s">
        <v>12</v>
      </c>
      <c r="D10" s="28">
        <v>0</v>
      </c>
      <c r="E10" s="22">
        <f>(7451*0.1)*0.25</f>
        <v>186.27500000000001</v>
      </c>
      <c r="F10" s="32" t="s">
        <v>182</v>
      </c>
      <c r="G10" s="22">
        <f>(8791*0.1)*0.25</f>
        <v>219.77500000000001</v>
      </c>
      <c r="H10" s="26" t="s">
        <v>191</v>
      </c>
      <c r="I10" s="22">
        <f>(14732*0.1)*0.25</f>
        <v>368.3</v>
      </c>
      <c r="J10" s="26" t="s">
        <v>192</v>
      </c>
      <c r="K10" s="33">
        <v>414.8</v>
      </c>
      <c r="L10" s="618"/>
      <c r="M10" s="619"/>
      <c r="N10" s="620">
        <f>(32795)*0.1*0.25</f>
        <v>819.875</v>
      </c>
      <c r="O10" s="601" t="s">
        <v>193</v>
      </c>
      <c r="P10" s="621"/>
      <c r="Q10" s="33"/>
      <c r="R10" s="33"/>
      <c r="S10" s="1112"/>
    </row>
    <row r="11" spans="1:19" ht="14.1" customHeight="1" thickBot="1">
      <c r="A11" s="1116"/>
      <c r="B11" s="1116"/>
      <c r="C11" s="1120" t="s">
        <v>194</v>
      </c>
      <c r="D11" s="1121"/>
      <c r="E11" s="1121"/>
      <c r="F11" s="1121"/>
      <c r="G11" s="1121"/>
      <c r="H11" s="1121"/>
      <c r="I11" s="1121"/>
      <c r="J11" s="1121"/>
      <c r="K11" s="1121"/>
      <c r="L11" s="1121"/>
      <c r="M11" s="1121"/>
      <c r="N11" s="1121"/>
      <c r="O11" s="1121"/>
      <c r="P11" s="1121"/>
      <c r="Q11" s="1121"/>
      <c r="R11" s="1122"/>
      <c r="S11" s="1113"/>
    </row>
    <row r="12" spans="1:19" ht="27.75" customHeight="1" thickBot="1">
      <c r="A12" s="1116"/>
      <c r="B12" s="1117"/>
      <c r="C12" s="1123"/>
      <c r="D12" s="1124"/>
      <c r="E12" s="1124"/>
      <c r="F12" s="1124"/>
      <c r="G12" s="1124"/>
      <c r="H12" s="1124"/>
      <c r="I12" s="1124"/>
      <c r="J12" s="1124"/>
      <c r="K12" s="1124"/>
      <c r="L12" s="1124"/>
      <c r="M12" s="1124"/>
      <c r="N12" s="1124"/>
      <c r="O12" s="1124"/>
      <c r="P12" s="1124"/>
      <c r="Q12" s="1124"/>
      <c r="R12" s="1124"/>
      <c r="S12" s="1113"/>
    </row>
    <row r="13" spans="1:19" ht="11.1" thickBot="1">
      <c r="A13" s="1116"/>
      <c r="B13" s="34" t="s">
        <v>20</v>
      </c>
      <c r="C13" s="35"/>
      <c r="D13" s="10" t="str">
        <f>D$2</f>
        <v>Baseline (Nov-2021)</v>
      </c>
      <c r="E13" s="11">
        <f t="shared" ref="E13:R13" si="4">E$2</f>
        <v>44742</v>
      </c>
      <c r="F13" s="11"/>
      <c r="G13" s="11"/>
      <c r="H13" s="11"/>
      <c r="I13" s="11">
        <f t="shared" si="4"/>
        <v>45107</v>
      </c>
      <c r="J13" s="11"/>
      <c r="K13" s="602">
        <v>45352</v>
      </c>
      <c r="L13" s="602"/>
      <c r="M13" s="11">
        <f t="shared" si="4"/>
        <v>45473</v>
      </c>
      <c r="N13" s="12">
        <v>45717</v>
      </c>
      <c r="O13" s="599"/>
      <c r="P13" s="603">
        <f t="shared" si="4"/>
        <v>46111</v>
      </c>
      <c r="Q13" s="11">
        <f t="shared" si="4"/>
        <v>46477</v>
      </c>
      <c r="R13" s="12" t="str">
        <f t="shared" si="4"/>
        <v>Total Cumulative Unique</v>
      </c>
      <c r="S13" s="1113"/>
    </row>
    <row r="14" spans="1:19" ht="13.5" thickBot="1">
      <c r="A14" s="1116"/>
      <c r="B14" s="1118" t="s">
        <v>195</v>
      </c>
      <c r="C14" s="36" t="s">
        <v>29</v>
      </c>
      <c r="D14" s="37">
        <v>0</v>
      </c>
      <c r="E14" s="38">
        <f>(((E81*0.2)*775)*0.5)*0.75</f>
        <v>1380.46875</v>
      </c>
      <c r="F14" s="39"/>
      <c r="G14" s="38"/>
      <c r="H14" s="16"/>
      <c r="I14" s="38">
        <f>((((I81*0.2)*775)*0.5)*0.7)+E14</f>
        <v>4635.46875</v>
      </c>
      <c r="J14" s="38"/>
      <c r="K14" s="622">
        <f>M14*0.75</f>
        <v>5361.7265625</v>
      </c>
      <c r="L14" s="622"/>
      <c r="M14" s="564">
        <v>7148.96875</v>
      </c>
      <c r="N14" s="623">
        <v>7137.1715624999997</v>
      </c>
      <c r="O14" s="565"/>
      <c r="P14" s="624">
        <v>8288.8115624999991</v>
      </c>
      <c r="Q14" s="564">
        <f>P14</f>
        <v>8288.8115624999991</v>
      </c>
      <c r="R14" s="567">
        <f t="shared" ref="R14:R17" si="5">IF(Q14,0,P14)</f>
        <v>0</v>
      </c>
      <c r="S14" s="1112"/>
    </row>
    <row r="15" spans="1:19" ht="13.5" thickBot="1">
      <c r="A15" s="1116"/>
      <c r="B15" s="1119"/>
      <c r="C15" s="17" t="s">
        <v>12</v>
      </c>
      <c r="D15" s="22">
        <v>0</v>
      </c>
      <c r="E15" s="22">
        <f>E14*0.3</f>
        <v>414.140625</v>
      </c>
      <c r="F15" s="23"/>
      <c r="G15" s="22"/>
      <c r="H15" s="16"/>
      <c r="I15" s="22">
        <f t="shared" ref="I15" si="6">I14*0.3</f>
        <v>1390.640625</v>
      </c>
      <c r="J15" s="22"/>
      <c r="K15" s="625">
        <f>K14*0.3</f>
        <v>1608.5179687499999</v>
      </c>
      <c r="L15" s="625"/>
      <c r="M15" s="29">
        <v>2144.6906249999997</v>
      </c>
      <c r="N15" s="626">
        <v>2141.1514687499998</v>
      </c>
      <c r="O15" s="566"/>
      <c r="P15" s="613">
        <v>2486.6434687499996</v>
      </c>
      <c r="Q15" s="29">
        <f>P15</f>
        <v>2486.6434687499996</v>
      </c>
      <c r="R15" s="567">
        <f t="shared" si="5"/>
        <v>0</v>
      </c>
      <c r="S15" s="1112"/>
    </row>
    <row r="16" spans="1:19" ht="152.44999999999999" customHeight="1" thickBot="1">
      <c r="A16" s="1116"/>
      <c r="B16" s="1119"/>
      <c r="C16" s="20" t="s">
        <v>31</v>
      </c>
      <c r="D16" s="41">
        <v>0</v>
      </c>
      <c r="E16" s="22">
        <f>3225/2</f>
        <v>1612.5</v>
      </c>
      <c r="F16" s="42" t="s">
        <v>182</v>
      </c>
      <c r="G16" s="22">
        <f>4795/2</f>
        <v>2397.5</v>
      </c>
      <c r="H16" s="26" t="s">
        <v>196</v>
      </c>
      <c r="I16" s="22">
        <f>8488/2</f>
        <v>4244</v>
      </c>
      <c r="J16" s="26" t="s">
        <v>197</v>
      </c>
      <c r="K16" s="625">
        <f>12626/2</f>
        <v>6313</v>
      </c>
      <c r="L16" s="627" t="s">
        <v>198</v>
      </c>
      <c r="M16" s="628">
        <f>N16/N14</f>
        <v>1.7396947644131961</v>
      </c>
      <c r="N16" s="600">
        <f>24833/2</f>
        <v>12416.5</v>
      </c>
      <c r="O16" s="601" t="s">
        <v>199</v>
      </c>
      <c r="P16" s="613">
        <v>0</v>
      </c>
      <c r="Q16" s="29">
        <v>0</v>
      </c>
      <c r="R16" s="567">
        <f t="shared" si="5"/>
        <v>0</v>
      </c>
      <c r="S16" s="1112"/>
    </row>
    <row r="17" spans="1:20" ht="143.44999999999999" customHeight="1" thickBot="1">
      <c r="A17" s="1116"/>
      <c r="B17" s="1119"/>
      <c r="C17" s="21" t="s">
        <v>12</v>
      </c>
      <c r="D17" s="43">
        <v>0</v>
      </c>
      <c r="E17" s="22">
        <f>1319/2</f>
        <v>659.5</v>
      </c>
      <c r="F17" s="44" t="s">
        <v>182</v>
      </c>
      <c r="G17" s="22">
        <f>1359/2</f>
        <v>679.5</v>
      </c>
      <c r="H17" s="26" t="s">
        <v>200</v>
      </c>
      <c r="I17" s="22">
        <f>2904/2</f>
        <v>1452</v>
      </c>
      <c r="J17" s="26" t="s">
        <v>201</v>
      </c>
      <c r="K17" s="625">
        <f>4366/2</f>
        <v>2183</v>
      </c>
      <c r="L17" s="627" t="s">
        <v>202</v>
      </c>
      <c r="M17" s="619"/>
      <c r="N17" s="600">
        <f>(6667)/2</f>
        <v>3333.5</v>
      </c>
      <c r="O17" s="601" t="s">
        <v>203</v>
      </c>
      <c r="P17" s="629"/>
      <c r="Q17" s="33"/>
      <c r="R17" s="567">
        <f t="shared" si="5"/>
        <v>0</v>
      </c>
      <c r="S17" s="1112"/>
    </row>
    <row r="18" spans="1:20" ht="14.1" customHeight="1" thickBot="1">
      <c r="A18" s="1116"/>
      <c r="B18" s="1116"/>
      <c r="C18" s="1120" t="s">
        <v>204</v>
      </c>
      <c r="D18" s="1121"/>
      <c r="E18" s="1121"/>
      <c r="F18" s="1121"/>
      <c r="G18" s="1121"/>
      <c r="H18" s="1121"/>
      <c r="I18" s="1121"/>
      <c r="J18" s="1121"/>
      <c r="K18" s="1121"/>
      <c r="L18" s="1121"/>
      <c r="M18" s="1121"/>
      <c r="N18" s="1121"/>
      <c r="O18" s="1121"/>
      <c r="P18" s="1121"/>
      <c r="Q18" s="1121"/>
      <c r="R18" s="1122"/>
      <c r="S18" s="1113"/>
    </row>
    <row r="19" spans="1:20" ht="29.25" customHeight="1" thickBot="1">
      <c r="A19" s="1117"/>
      <c r="B19" s="1117"/>
      <c r="C19" s="1123"/>
      <c r="D19" s="1124"/>
      <c r="E19" s="1124"/>
      <c r="F19" s="1124"/>
      <c r="G19" s="1124"/>
      <c r="H19" s="1124"/>
      <c r="I19" s="1124"/>
      <c r="J19" s="1124"/>
      <c r="K19" s="1124"/>
      <c r="L19" s="1124"/>
      <c r="M19" s="1124"/>
      <c r="N19" s="1124"/>
      <c r="O19" s="1124"/>
      <c r="P19" s="1124"/>
      <c r="Q19" s="1124"/>
      <c r="R19" s="1124"/>
      <c r="S19" s="1114"/>
    </row>
    <row r="20" spans="1:20" ht="11.1" thickBot="1">
      <c r="A20" s="45"/>
      <c r="B20" s="45"/>
      <c r="C20" s="46"/>
      <c r="D20" s="47"/>
      <c r="E20" s="47"/>
      <c r="F20" s="47"/>
      <c r="G20" s="47"/>
      <c r="H20" s="47"/>
      <c r="I20" s="47"/>
      <c r="J20" s="47"/>
      <c r="K20" s="133"/>
      <c r="L20" s="133"/>
      <c r="M20" s="47"/>
      <c r="N20" s="47"/>
      <c r="O20" s="630"/>
      <c r="P20" s="47"/>
      <c r="Q20" s="47"/>
      <c r="R20" s="47"/>
      <c r="S20" s="47"/>
    </row>
    <row r="21" spans="1:20" ht="11.1" thickBot="1">
      <c r="A21" s="7" t="s">
        <v>33</v>
      </c>
      <c r="B21" s="8" t="s">
        <v>34</v>
      </c>
      <c r="C21" s="35"/>
      <c r="D21" s="10" t="str">
        <f>D$2</f>
        <v>Baseline (Nov-2021)</v>
      </c>
      <c r="E21" s="11">
        <f t="shared" ref="E21:R21" si="7">E$2</f>
        <v>44742</v>
      </c>
      <c r="F21" s="11"/>
      <c r="G21" s="11"/>
      <c r="H21" s="11"/>
      <c r="I21" s="11">
        <f t="shared" si="7"/>
        <v>45107</v>
      </c>
      <c r="J21" s="11"/>
      <c r="K21" s="602">
        <v>45352</v>
      </c>
      <c r="L21" s="602"/>
      <c r="M21" s="11">
        <f t="shared" si="7"/>
        <v>45473</v>
      </c>
      <c r="N21" s="12">
        <v>45717</v>
      </c>
      <c r="O21" s="599"/>
      <c r="P21" s="603">
        <f t="shared" si="7"/>
        <v>46111</v>
      </c>
      <c r="Q21" s="11">
        <f t="shared" si="7"/>
        <v>46477</v>
      </c>
      <c r="R21" s="12" t="str">
        <f t="shared" si="7"/>
        <v>Total Cumulative Unique</v>
      </c>
      <c r="S21" s="48" t="s">
        <v>35</v>
      </c>
    </row>
    <row r="22" spans="1:20" ht="13.5" thickBot="1">
      <c r="A22" s="1115" t="s">
        <v>36</v>
      </c>
      <c r="B22" s="1118" t="s">
        <v>205</v>
      </c>
      <c r="C22" s="36" t="s">
        <v>29</v>
      </c>
      <c r="D22" s="49">
        <v>0</v>
      </c>
      <c r="E22" s="49">
        <f>6987500*0.5</f>
        <v>3493750</v>
      </c>
      <c r="F22" s="50"/>
      <c r="G22" s="49"/>
      <c r="H22" s="16"/>
      <c r="I22" s="49">
        <f>(13300000*0.5)+E22</f>
        <v>10143750</v>
      </c>
      <c r="J22" s="51"/>
      <c r="K22" s="631">
        <f>M22*0.75</f>
        <v>15754687.5</v>
      </c>
      <c r="L22" s="631"/>
      <c r="M22" s="49">
        <f>(21725000*0.5)+I22</f>
        <v>21006250</v>
      </c>
      <c r="N22" s="632">
        <v>28186687.5</v>
      </c>
      <c r="O22" s="54"/>
      <c r="P22" s="633">
        <v>36250687.5</v>
      </c>
      <c r="Q22" s="49">
        <f>P22</f>
        <v>36250687.5</v>
      </c>
      <c r="R22" s="52">
        <f t="shared" ref="R22:R23" si="8">IF(Q22,0,P22)</f>
        <v>0</v>
      </c>
      <c r="S22" s="1125" t="s">
        <v>206</v>
      </c>
    </row>
    <row r="23" spans="1:20" ht="30">
      <c r="A23" s="1116"/>
      <c r="B23" s="1119"/>
      <c r="C23" s="53" t="s">
        <v>41</v>
      </c>
      <c r="D23" s="54">
        <f>D22*0.3</f>
        <v>0</v>
      </c>
      <c r="E23" s="54">
        <f t="shared" ref="E23:I23" si="9">E22*0.3</f>
        <v>1048125</v>
      </c>
      <c r="F23" s="55"/>
      <c r="G23" s="54"/>
      <c r="H23" s="16"/>
      <c r="I23" s="54">
        <f t="shared" si="9"/>
        <v>3043125</v>
      </c>
      <c r="J23" s="54"/>
      <c r="K23" s="634">
        <f>K22*0.5</f>
        <v>7877343.75</v>
      </c>
      <c r="L23" s="634"/>
      <c r="M23" s="56">
        <f>M22*0.5</f>
        <v>10503125</v>
      </c>
      <c r="N23" s="635">
        <v>14093343.75</v>
      </c>
      <c r="O23" s="54"/>
      <c r="P23" s="636">
        <v>18125343.75</v>
      </c>
      <c r="Q23" s="54">
        <f>P23</f>
        <v>18125343.75</v>
      </c>
      <c r="R23" s="52">
        <f t="shared" si="8"/>
        <v>0</v>
      </c>
      <c r="S23" s="1126"/>
      <c r="T23" s="989"/>
    </row>
    <row r="24" spans="1:20" ht="50.1">
      <c r="A24" s="1116"/>
      <c r="B24" s="1119"/>
      <c r="C24" s="20" t="s">
        <v>31</v>
      </c>
      <c r="D24" s="57">
        <v>0</v>
      </c>
      <c r="E24" s="54">
        <v>5092429</v>
      </c>
      <c r="F24" s="58" t="s">
        <v>207</v>
      </c>
      <c r="G24" s="54">
        <v>5776019.4100000001</v>
      </c>
      <c r="H24" s="26" t="s">
        <v>208</v>
      </c>
      <c r="I24" s="56">
        <v>10351544.65</v>
      </c>
      <c r="J24" s="26" t="s">
        <v>209</v>
      </c>
      <c r="K24" s="634">
        <v>13427073.645222001</v>
      </c>
      <c r="L24" s="627" t="s">
        <v>210</v>
      </c>
      <c r="M24" s="637"/>
      <c r="N24" s="638">
        <v>28155392.57</v>
      </c>
      <c r="O24" s="639" t="s">
        <v>211</v>
      </c>
      <c r="P24" s="636"/>
      <c r="Q24" s="54"/>
      <c r="R24" s="59"/>
      <c r="S24" s="1126"/>
    </row>
    <row r="25" spans="1:20" ht="122.45" customHeight="1" thickBot="1">
      <c r="A25" s="1116"/>
      <c r="B25" s="1119"/>
      <c r="C25" s="60" t="s">
        <v>41</v>
      </c>
      <c r="D25" s="61">
        <f>D24*0.56</f>
        <v>0</v>
      </c>
      <c r="E25" s="54">
        <v>4904429</v>
      </c>
      <c r="F25" s="62" t="s">
        <v>212</v>
      </c>
      <c r="G25" s="54">
        <v>5410429.4100000001</v>
      </c>
      <c r="H25" s="26" t="s">
        <v>213</v>
      </c>
      <c r="I25" s="56">
        <v>7020683.2199999997</v>
      </c>
      <c r="J25" s="26" t="s">
        <v>214</v>
      </c>
      <c r="K25" s="634">
        <v>9191789.2200000007</v>
      </c>
      <c r="L25" s="627" t="s">
        <v>215</v>
      </c>
      <c r="M25" s="640"/>
      <c r="N25" s="638">
        <v>17274486.641999997</v>
      </c>
      <c r="O25" s="639" t="s">
        <v>216</v>
      </c>
      <c r="P25" s="641"/>
      <c r="Q25" s="63"/>
      <c r="R25" s="64"/>
      <c r="S25" s="1126"/>
    </row>
    <row r="26" spans="1:20" ht="11.1" thickBot="1">
      <c r="A26" s="1116"/>
      <c r="B26" s="1116"/>
      <c r="C26" s="1120" t="s">
        <v>194</v>
      </c>
      <c r="D26" s="1121"/>
      <c r="E26" s="1121"/>
      <c r="F26" s="1121"/>
      <c r="G26" s="1121"/>
      <c r="H26" s="1121"/>
      <c r="I26" s="1121"/>
      <c r="J26" s="1121"/>
      <c r="K26" s="1121"/>
      <c r="L26" s="1121"/>
      <c r="M26" s="1121"/>
      <c r="N26" s="1121"/>
      <c r="O26" s="1121"/>
      <c r="P26" s="1121"/>
      <c r="Q26" s="1121"/>
      <c r="R26" s="1121"/>
      <c r="S26" s="1127"/>
    </row>
    <row r="27" spans="1:20" ht="10.5" thickBot="1">
      <c r="A27" s="1116"/>
      <c r="B27" s="1117"/>
      <c r="C27" s="1123"/>
      <c r="D27" s="1124"/>
      <c r="E27" s="1124"/>
      <c r="F27" s="1124"/>
      <c r="G27" s="1124"/>
      <c r="H27" s="1124"/>
      <c r="I27" s="1124"/>
      <c r="J27" s="1124"/>
      <c r="K27" s="1124"/>
      <c r="L27" s="1124"/>
      <c r="M27" s="1124"/>
      <c r="N27" s="1124"/>
      <c r="O27" s="1124"/>
      <c r="P27" s="1124"/>
      <c r="Q27" s="1124"/>
      <c r="R27" s="1124"/>
      <c r="S27" s="1127"/>
    </row>
    <row r="28" spans="1:20" ht="11.1" thickBot="1">
      <c r="A28" s="1116"/>
      <c r="B28" s="34" t="s">
        <v>43</v>
      </c>
      <c r="C28" s="35"/>
      <c r="D28" s="10" t="str">
        <f>D$2</f>
        <v>Baseline (Nov-2021)</v>
      </c>
      <c r="E28" s="65">
        <f t="shared" ref="E28:R28" si="10">E$2</f>
        <v>44742</v>
      </c>
      <c r="F28" s="65"/>
      <c r="G28" s="65"/>
      <c r="H28" s="65"/>
      <c r="I28" s="65">
        <f t="shared" si="10"/>
        <v>45107</v>
      </c>
      <c r="J28" s="65"/>
      <c r="K28" s="602">
        <v>45352</v>
      </c>
      <c r="L28" s="602"/>
      <c r="M28" s="65">
        <f t="shared" si="10"/>
        <v>45473</v>
      </c>
      <c r="N28" s="12">
        <v>45717</v>
      </c>
      <c r="O28" s="599"/>
      <c r="P28" s="642">
        <f t="shared" si="10"/>
        <v>46111</v>
      </c>
      <c r="Q28" s="65">
        <f t="shared" si="10"/>
        <v>46477</v>
      </c>
      <c r="R28" s="66" t="str">
        <f t="shared" si="10"/>
        <v>Total Cumulative Unique</v>
      </c>
      <c r="S28" s="1127"/>
    </row>
    <row r="29" spans="1:20" ht="13.5" thickBot="1">
      <c r="A29" s="1116"/>
      <c r="B29" s="1128" t="s">
        <v>217</v>
      </c>
      <c r="C29" s="36" t="s">
        <v>29</v>
      </c>
      <c r="D29" s="67">
        <v>0</v>
      </c>
      <c r="E29" s="67">
        <f>1397500*0.5</f>
        <v>698750</v>
      </c>
      <c r="F29" s="67"/>
      <c r="G29" s="67"/>
      <c r="H29" s="22"/>
      <c r="I29" s="67">
        <f>(2660000*0.5)+E29</f>
        <v>2028750</v>
      </c>
      <c r="J29" s="67"/>
      <c r="K29" s="631">
        <f>M29*0.85</f>
        <v>4945921.5625</v>
      </c>
      <c r="L29" s="631"/>
      <c r="M29" s="67">
        <f>((4345000*0.5)+I29)*1.385</f>
        <v>5818731.25</v>
      </c>
      <c r="N29" s="643">
        <v>9359048.4375</v>
      </c>
      <c r="O29" s="509"/>
      <c r="P29" s="644">
        <v>12599048.4375</v>
      </c>
      <c r="Q29" s="67">
        <f>P29</f>
        <v>12599048.4375</v>
      </c>
      <c r="R29" s="52">
        <f t="shared" ref="R29:R30" si="11">IF(Q29,0,P29)</f>
        <v>0</v>
      </c>
      <c r="S29" s="1127"/>
    </row>
    <row r="30" spans="1:20" ht="50.1" customHeight="1" thickBot="1">
      <c r="A30" s="1116"/>
      <c r="B30" s="1128"/>
      <c r="C30" s="53" t="s">
        <v>41</v>
      </c>
      <c r="D30" s="56">
        <f>D29*0.3</f>
        <v>0</v>
      </c>
      <c r="E30" s="56">
        <f>E29*0.3</f>
        <v>209625</v>
      </c>
      <c r="F30" s="56"/>
      <c r="G30" s="56"/>
      <c r="H30" s="22"/>
      <c r="I30" s="56">
        <f>I29*0.3</f>
        <v>608625</v>
      </c>
      <c r="J30" s="56"/>
      <c r="K30" s="634">
        <f>K29*0.65</f>
        <v>3214849.015625</v>
      </c>
      <c r="L30" s="634"/>
      <c r="M30" s="56">
        <f>M29*0.65</f>
        <v>3782175.3125</v>
      </c>
      <c r="N30" s="645">
        <v>4679524.21875</v>
      </c>
      <c r="O30" s="509"/>
      <c r="P30" s="646">
        <v>6299524.21875</v>
      </c>
      <c r="Q30" s="56">
        <f>P30</f>
        <v>6299524.21875</v>
      </c>
      <c r="R30" s="52">
        <f t="shared" si="11"/>
        <v>0</v>
      </c>
      <c r="S30" s="1127"/>
    </row>
    <row r="31" spans="1:20" ht="60.6" thickBot="1">
      <c r="A31" s="1116"/>
      <c r="B31" s="1128"/>
      <c r="C31" s="20" t="s">
        <v>31</v>
      </c>
      <c r="D31" s="70">
        <v>0</v>
      </c>
      <c r="E31" s="56">
        <v>2133212.42</v>
      </c>
      <c r="F31" s="71" t="s">
        <v>218</v>
      </c>
      <c r="G31" s="56">
        <v>2296612.42</v>
      </c>
      <c r="H31" s="26" t="s">
        <v>219</v>
      </c>
      <c r="I31" s="56">
        <v>4646944.8499999996</v>
      </c>
      <c r="J31" s="26" t="s">
        <v>220</v>
      </c>
      <c r="K31" s="634">
        <v>6435200.8499999996</v>
      </c>
      <c r="L31" s="627" t="s">
        <v>221</v>
      </c>
      <c r="M31" s="647"/>
      <c r="N31" s="648">
        <v>11701590.848999999</v>
      </c>
      <c r="O31" s="649" t="s">
        <v>222</v>
      </c>
      <c r="Q31" s="72"/>
      <c r="R31" s="73"/>
      <c r="S31" s="1127"/>
    </row>
    <row r="32" spans="1:20" ht="120.6" thickBot="1">
      <c r="A32" s="1116"/>
      <c r="B32" s="1128"/>
      <c r="C32" s="60" t="s">
        <v>41</v>
      </c>
      <c r="D32" s="74">
        <v>0</v>
      </c>
      <c r="E32" s="56">
        <v>2067212.42</v>
      </c>
      <c r="F32" s="62" t="s">
        <v>223</v>
      </c>
      <c r="G32" s="56">
        <v>2230612.42</v>
      </c>
      <c r="H32" s="26" t="s">
        <v>224</v>
      </c>
      <c r="I32" s="56">
        <v>2649942.4300000002</v>
      </c>
      <c r="J32" s="26" t="s">
        <v>225</v>
      </c>
      <c r="K32" s="634">
        <v>4241398.43</v>
      </c>
      <c r="L32" s="627" t="s">
        <v>226</v>
      </c>
      <c r="M32" s="650"/>
      <c r="N32" s="651">
        <v>7367888.4299999997</v>
      </c>
      <c r="O32" s="652" t="s">
        <v>227</v>
      </c>
      <c r="Q32" s="74"/>
      <c r="R32" s="75"/>
      <c r="S32" s="1127"/>
    </row>
    <row r="33" spans="1:733" s="76" customFormat="1" ht="14.1" customHeight="1" thickBot="1">
      <c r="A33" s="1116"/>
      <c r="B33" s="1129"/>
      <c r="C33" s="1120" t="s">
        <v>194</v>
      </c>
      <c r="D33" s="1121"/>
      <c r="E33" s="1121"/>
      <c r="F33" s="1121"/>
      <c r="G33" s="1121"/>
      <c r="H33" s="1121"/>
      <c r="I33" s="1121"/>
      <c r="J33" s="1121"/>
      <c r="K33" s="1121"/>
      <c r="L33" s="1121"/>
      <c r="M33" s="1121"/>
      <c r="N33" s="1121"/>
      <c r="O33" s="1121"/>
      <c r="P33" s="1121"/>
      <c r="Q33" s="1121"/>
      <c r="R33" s="1121"/>
      <c r="S33" s="1127"/>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c r="RX33" s="6"/>
      <c r="RY33" s="6"/>
      <c r="RZ33" s="6"/>
      <c r="SA33" s="6"/>
      <c r="SB33" s="6"/>
      <c r="SC33" s="6"/>
      <c r="SD33" s="6"/>
      <c r="SE33" s="6"/>
      <c r="SF33" s="6"/>
      <c r="SG33" s="6"/>
      <c r="SH33" s="6"/>
      <c r="SI33" s="6"/>
      <c r="SJ33" s="6"/>
      <c r="SK33" s="6"/>
      <c r="SL33" s="6"/>
      <c r="SM33" s="6"/>
      <c r="SN33" s="6"/>
      <c r="SO33" s="6"/>
      <c r="SP33" s="6"/>
      <c r="SQ33" s="6"/>
      <c r="SR33" s="6"/>
      <c r="SS33" s="6"/>
      <c r="ST33" s="6"/>
      <c r="SU33" s="6"/>
      <c r="SV33" s="6"/>
      <c r="SW33" s="6"/>
      <c r="SX33" s="6"/>
      <c r="SY33" s="6"/>
      <c r="SZ33" s="6"/>
      <c r="TA33" s="6"/>
      <c r="TB33" s="6"/>
      <c r="TC33" s="6"/>
      <c r="TD33" s="6"/>
      <c r="TE33" s="6"/>
      <c r="TF33" s="6"/>
      <c r="TG33" s="6"/>
      <c r="TH33" s="6"/>
      <c r="TI33" s="6"/>
      <c r="TJ33" s="6"/>
      <c r="TK33" s="6"/>
      <c r="TL33" s="6"/>
      <c r="TM33" s="6"/>
      <c r="TN33" s="6"/>
      <c r="TO33" s="6"/>
      <c r="TP33" s="6"/>
      <c r="TQ33" s="6"/>
      <c r="TR33" s="6"/>
      <c r="TS33" s="6"/>
      <c r="TT33" s="6"/>
      <c r="TU33" s="6"/>
      <c r="TV33" s="6"/>
      <c r="TW33" s="6"/>
      <c r="TX33" s="6"/>
      <c r="TY33" s="6"/>
      <c r="TZ33" s="6"/>
      <c r="UA33" s="6"/>
      <c r="UB33" s="6"/>
      <c r="UC33" s="6"/>
      <c r="UD33" s="6"/>
      <c r="UE33" s="6"/>
      <c r="UF33" s="6"/>
      <c r="UG33" s="6"/>
      <c r="UH33" s="6"/>
      <c r="UI33" s="6"/>
      <c r="UJ33" s="6"/>
      <c r="UK33" s="6"/>
      <c r="UL33" s="6"/>
      <c r="UM33" s="6"/>
      <c r="UN33" s="6"/>
      <c r="UO33" s="6"/>
      <c r="UP33" s="6"/>
      <c r="UQ33" s="6"/>
      <c r="UR33" s="6"/>
      <c r="US33" s="6"/>
      <c r="UT33" s="6"/>
      <c r="UU33" s="6"/>
      <c r="UV33" s="6"/>
      <c r="UW33" s="6"/>
      <c r="UX33" s="6"/>
      <c r="UY33" s="6"/>
      <c r="UZ33" s="6"/>
      <c r="VA33" s="6"/>
      <c r="VB33" s="6"/>
      <c r="VC33" s="6"/>
      <c r="VD33" s="6"/>
      <c r="VE33" s="6"/>
      <c r="VF33" s="6"/>
      <c r="VG33" s="6"/>
      <c r="VH33" s="6"/>
      <c r="VI33" s="6"/>
      <c r="VJ33" s="6"/>
      <c r="VK33" s="6"/>
      <c r="VL33" s="6"/>
      <c r="VM33" s="6"/>
      <c r="VN33" s="6"/>
      <c r="VO33" s="6"/>
      <c r="VP33" s="6"/>
      <c r="VQ33" s="6"/>
      <c r="VR33" s="6"/>
      <c r="VS33" s="6"/>
      <c r="VT33" s="6"/>
      <c r="VU33" s="6"/>
      <c r="VV33" s="6"/>
      <c r="VW33" s="6"/>
      <c r="VX33" s="6"/>
      <c r="VY33" s="6"/>
      <c r="VZ33" s="6"/>
      <c r="WA33" s="6"/>
      <c r="WB33" s="6"/>
      <c r="WC33" s="6"/>
      <c r="WD33" s="6"/>
      <c r="WE33" s="6"/>
      <c r="WF33" s="6"/>
      <c r="WG33" s="6"/>
      <c r="WH33" s="6"/>
      <c r="WI33" s="6"/>
      <c r="WJ33" s="6"/>
      <c r="WK33" s="6"/>
      <c r="WL33" s="6"/>
      <c r="WM33" s="6"/>
      <c r="WN33" s="6"/>
      <c r="WO33" s="6"/>
      <c r="WP33" s="6"/>
      <c r="WQ33" s="6"/>
      <c r="WR33" s="6"/>
      <c r="WS33" s="6"/>
      <c r="WT33" s="6"/>
      <c r="WU33" s="6"/>
      <c r="WV33" s="6"/>
      <c r="WW33" s="6"/>
      <c r="WX33" s="6"/>
      <c r="WY33" s="6"/>
      <c r="WZ33" s="6"/>
      <c r="XA33" s="6"/>
      <c r="XB33" s="6"/>
      <c r="XC33" s="6"/>
      <c r="XD33" s="6"/>
      <c r="XE33" s="6"/>
      <c r="XF33" s="6"/>
      <c r="XG33" s="6"/>
      <c r="XH33" s="6"/>
      <c r="XI33" s="6"/>
      <c r="XJ33" s="6"/>
      <c r="XK33" s="6"/>
      <c r="XL33" s="6"/>
      <c r="XM33" s="6"/>
      <c r="XN33" s="6"/>
      <c r="XO33" s="6"/>
      <c r="XP33" s="6"/>
      <c r="XQ33" s="6"/>
      <c r="XR33" s="6"/>
      <c r="XS33" s="6"/>
      <c r="XT33" s="6"/>
      <c r="XU33" s="6"/>
      <c r="XV33" s="6"/>
      <c r="XW33" s="6"/>
      <c r="XX33" s="6"/>
      <c r="XY33" s="6"/>
      <c r="XZ33" s="6"/>
      <c r="YA33" s="6"/>
      <c r="YB33" s="6"/>
      <c r="YC33" s="6"/>
      <c r="YD33" s="6"/>
      <c r="YE33" s="6"/>
      <c r="YF33" s="6"/>
      <c r="YG33" s="6"/>
      <c r="YH33" s="6"/>
      <c r="YI33" s="6"/>
      <c r="YJ33" s="6"/>
      <c r="YK33" s="6"/>
      <c r="YL33" s="6"/>
      <c r="YM33" s="6"/>
      <c r="YN33" s="6"/>
      <c r="YO33" s="6"/>
      <c r="YP33" s="6"/>
      <c r="YQ33" s="6"/>
      <c r="YR33" s="6"/>
      <c r="YS33" s="6"/>
      <c r="YT33" s="6"/>
      <c r="YU33" s="6"/>
      <c r="YV33" s="6"/>
      <c r="YW33" s="6"/>
      <c r="YX33" s="6"/>
      <c r="YY33" s="6"/>
      <c r="YZ33" s="6"/>
      <c r="ZA33" s="6"/>
      <c r="ZB33" s="6"/>
      <c r="ZC33" s="6"/>
      <c r="ZD33" s="6"/>
      <c r="ZE33" s="6"/>
      <c r="ZF33" s="6"/>
      <c r="ZG33" s="6"/>
      <c r="ZH33" s="6"/>
      <c r="ZI33" s="6"/>
      <c r="ZJ33" s="6"/>
      <c r="ZK33" s="6"/>
      <c r="ZL33" s="6"/>
      <c r="ZM33" s="6"/>
      <c r="ZN33" s="6"/>
      <c r="ZO33" s="6"/>
      <c r="ZP33" s="6"/>
      <c r="ZQ33" s="6"/>
      <c r="ZR33" s="6"/>
      <c r="ZS33" s="6"/>
      <c r="ZT33" s="6"/>
      <c r="ZU33" s="6"/>
      <c r="ZV33" s="6"/>
      <c r="ZW33" s="6"/>
      <c r="ZX33" s="6"/>
      <c r="ZY33" s="6"/>
      <c r="ZZ33" s="6"/>
      <c r="AAA33" s="6"/>
      <c r="AAB33" s="6"/>
      <c r="AAC33" s="6"/>
      <c r="AAD33" s="6"/>
      <c r="AAE33" s="6"/>
      <c r="AAF33" s="6"/>
      <c r="AAG33" s="6"/>
      <c r="AAH33" s="6"/>
      <c r="AAI33" s="6"/>
      <c r="AAJ33" s="6"/>
      <c r="AAK33" s="6"/>
      <c r="AAL33" s="6"/>
      <c r="AAM33" s="6"/>
      <c r="AAN33" s="6"/>
      <c r="AAO33" s="6"/>
      <c r="AAP33" s="6"/>
      <c r="AAQ33" s="6"/>
      <c r="AAR33" s="6"/>
      <c r="AAS33" s="6"/>
      <c r="AAT33" s="6"/>
      <c r="AAU33" s="6"/>
      <c r="AAV33" s="6"/>
      <c r="AAW33" s="6"/>
      <c r="AAX33" s="6"/>
      <c r="AAY33" s="6"/>
      <c r="AAZ33" s="6"/>
      <c r="ABA33" s="6"/>
      <c r="ABB33" s="6"/>
      <c r="ABC33" s="6"/>
      <c r="ABD33" s="6"/>
      <c r="ABE33" s="6"/>
    </row>
    <row r="34" spans="1:733" s="76" customFormat="1" ht="14.1" customHeight="1" thickBot="1">
      <c r="A34" s="1116"/>
      <c r="B34" s="1130"/>
      <c r="C34" s="1123"/>
      <c r="D34" s="1124"/>
      <c r="E34" s="1124"/>
      <c r="F34" s="1124"/>
      <c r="G34" s="1124"/>
      <c r="H34" s="1124"/>
      <c r="I34" s="1124"/>
      <c r="J34" s="1124"/>
      <c r="K34" s="1124"/>
      <c r="L34" s="1124"/>
      <c r="M34" s="1124"/>
      <c r="N34" s="1124"/>
      <c r="O34" s="1124"/>
      <c r="P34" s="1124"/>
      <c r="Q34" s="1124"/>
      <c r="R34" s="1124"/>
      <c r="S34" s="1127"/>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c r="IZ34" s="6"/>
      <c r="JA34" s="6"/>
      <c r="JB34" s="6"/>
      <c r="JC34" s="6"/>
      <c r="JD34" s="6"/>
      <c r="JE34" s="6"/>
      <c r="JF34" s="6"/>
      <c r="JG34" s="6"/>
      <c r="JH34" s="6"/>
      <c r="JI34" s="6"/>
      <c r="JJ34" s="6"/>
      <c r="JK34" s="6"/>
      <c r="JL34" s="6"/>
      <c r="JM34" s="6"/>
      <c r="JN34" s="6"/>
      <c r="JO34" s="6"/>
      <c r="JP34" s="6"/>
      <c r="JQ34" s="6"/>
      <c r="JR34" s="6"/>
      <c r="JS34" s="6"/>
      <c r="JT34" s="6"/>
      <c r="JU34" s="6"/>
      <c r="JV34" s="6"/>
      <c r="JW34" s="6"/>
      <c r="JX34" s="6"/>
      <c r="JY34" s="6"/>
      <c r="JZ34" s="6"/>
      <c r="KA34" s="6"/>
      <c r="KB34" s="6"/>
      <c r="KC34" s="6"/>
      <c r="KD34" s="6"/>
      <c r="KE34" s="6"/>
      <c r="KF34" s="6"/>
      <c r="KG34" s="6"/>
      <c r="KH34" s="6"/>
      <c r="KI34" s="6"/>
      <c r="KJ34" s="6"/>
      <c r="KK34" s="6"/>
      <c r="KL34" s="6"/>
      <c r="KM34" s="6"/>
      <c r="KN34" s="6"/>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c r="MF34" s="6"/>
      <c r="MG34" s="6"/>
      <c r="MH34" s="6"/>
      <c r="MI34" s="6"/>
      <c r="MJ34" s="6"/>
      <c r="MK34" s="6"/>
      <c r="ML34" s="6"/>
      <c r="MM34" s="6"/>
      <c r="MN34" s="6"/>
      <c r="MO34" s="6"/>
      <c r="MP34" s="6"/>
      <c r="MQ34" s="6"/>
      <c r="MR34" s="6"/>
      <c r="MS34" s="6"/>
      <c r="MT34" s="6"/>
      <c r="MU34" s="6"/>
      <c r="MV34" s="6"/>
      <c r="MW34" s="6"/>
      <c r="MX34" s="6"/>
      <c r="MY34" s="6"/>
      <c r="MZ34" s="6"/>
      <c r="NA34" s="6"/>
      <c r="NB34" s="6"/>
      <c r="NC34" s="6"/>
      <c r="ND34" s="6"/>
      <c r="NE34" s="6"/>
      <c r="NF34" s="6"/>
      <c r="NG34" s="6"/>
      <c r="NH34" s="6"/>
      <c r="NI34" s="6"/>
      <c r="NJ34" s="6"/>
      <c r="NK34" s="6"/>
      <c r="NL34" s="6"/>
      <c r="NM34" s="6"/>
      <c r="NN34" s="6"/>
      <c r="NO34" s="6"/>
      <c r="NP34" s="6"/>
      <c r="NQ34" s="6"/>
      <c r="NR34" s="6"/>
      <c r="NS34" s="6"/>
      <c r="NT34" s="6"/>
      <c r="NU34" s="6"/>
      <c r="NV34" s="6"/>
      <c r="NW34" s="6"/>
      <c r="NX34" s="6"/>
      <c r="NY34" s="6"/>
      <c r="NZ34" s="6"/>
      <c r="OA34" s="6"/>
      <c r="OB34" s="6"/>
      <c r="OC34" s="6"/>
      <c r="OD34" s="6"/>
      <c r="OE34" s="6"/>
      <c r="OF34" s="6"/>
      <c r="OG34" s="6"/>
      <c r="OH34" s="6"/>
      <c r="OI34" s="6"/>
      <c r="OJ34" s="6"/>
      <c r="OK34" s="6"/>
      <c r="OL34" s="6"/>
      <c r="OM34" s="6"/>
      <c r="ON34" s="6"/>
      <c r="OO34" s="6"/>
      <c r="OP34" s="6"/>
      <c r="OQ34" s="6"/>
      <c r="OR34" s="6"/>
      <c r="OS34" s="6"/>
      <c r="OT34" s="6"/>
      <c r="OU34" s="6"/>
      <c r="OV34" s="6"/>
      <c r="OW34" s="6"/>
      <c r="OX34" s="6"/>
      <c r="OY34" s="6"/>
      <c r="OZ34" s="6"/>
      <c r="PA34" s="6"/>
      <c r="PB34" s="6"/>
      <c r="PC34" s="6"/>
      <c r="PD34" s="6"/>
      <c r="PE34" s="6"/>
      <c r="PF34" s="6"/>
      <c r="PG34" s="6"/>
      <c r="PH34" s="6"/>
      <c r="PI34" s="6"/>
      <c r="PJ34" s="6"/>
      <c r="PK34" s="6"/>
      <c r="PL34" s="6"/>
      <c r="PM34" s="6"/>
      <c r="PN34" s="6"/>
      <c r="PO34" s="6"/>
      <c r="PP34" s="6"/>
      <c r="PQ34" s="6"/>
      <c r="PR34" s="6"/>
      <c r="PS34" s="6"/>
      <c r="PT34" s="6"/>
      <c r="PU34" s="6"/>
      <c r="PV34" s="6"/>
      <c r="PW34" s="6"/>
      <c r="PX34" s="6"/>
      <c r="PY34" s="6"/>
      <c r="PZ34" s="6"/>
      <c r="QA34" s="6"/>
      <c r="QB34" s="6"/>
      <c r="QC34" s="6"/>
      <c r="QD34" s="6"/>
      <c r="QE34" s="6"/>
      <c r="QF34" s="6"/>
      <c r="QG34" s="6"/>
      <c r="QH34" s="6"/>
      <c r="QI34" s="6"/>
      <c r="QJ34" s="6"/>
      <c r="QK34" s="6"/>
      <c r="QL34" s="6"/>
      <c r="QM34" s="6"/>
      <c r="QN34" s="6"/>
      <c r="QO34" s="6"/>
      <c r="QP34" s="6"/>
      <c r="QQ34" s="6"/>
      <c r="QR34" s="6"/>
      <c r="QS34" s="6"/>
      <c r="QT34" s="6"/>
      <c r="QU34" s="6"/>
      <c r="QV34" s="6"/>
      <c r="QW34" s="6"/>
      <c r="QX34" s="6"/>
      <c r="QY34" s="6"/>
      <c r="QZ34" s="6"/>
      <c r="RA34" s="6"/>
      <c r="RB34" s="6"/>
      <c r="RC34" s="6"/>
      <c r="RD34" s="6"/>
      <c r="RE34" s="6"/>
      <c r="RF34" s="6"/>
      <c r="RG34" s="6"/>
      <c r="RH34" s="6"/>
      <c r="RI34" s="6"/>
      <c r="RJ34" s="6"/>
      <c r="RK34" s="6"/>
      <c r="RL34" s="6"/>
      <c r="RM34" s="6"/>
      <c r="RN34" s="6"/>
      <c r="RO34" s="6"/>
      <c r="RP34" s="6"/>
      <c r="RQ34" s="6"/>
      <c r="RR34" s="6"/>
      <c r="RS34" s="6"/>
      <c r="RT34" s="6"/>
      <c r="RU34" s="6"/>
      <c r="RV34" s="6"/>
      <c r="RW34" s="6"/>
      <c r="RX34" s="6"/>
      <c r="RY34" s="6"/>
      <c r="RZ34" s="6"/>
      <c r="SA34" s="6"/>
      <c r="SB34" s="6"/>
      <c r="SC34" s="6"/>
      <c r="SD34" s="6"/>
      <c r="SE34" s="6"/>
      <c r="SF34" s="6"/>
      <c r="SG34" s="6"/>
      <c r="SH34" s="6"/>
      <c r="SI34" s="6"/>
      <c r="SJ34" s="6"/>
      <c r="SK34" s="6"/>
      <c r="SL34" s="6"/>
      <c r="SM34" s="6"/>
      <c r="SN34" s="6"/>
      <c r="SO34" s="6"/>
      <c r="SP34" s="6"/>
      <c r="SQ34" s="6"/>
      <c r="SR34" s="6"/>
      <c r="SS34" s="6"/>
      <c r="ST34" s="6"/>
      <c r="SU34" s="6"/>
      <c r="SV34" s="6"/>
      <c r="SW34" s="6"/>
      <c r="SX34" s="6"/>
      <c r="SY34" s="6"/>
      <c r="SZ34" s="6"/>
      <c r="TA34" s="6"/>
      <c r="TB34" s="6"/>
      <c r="TC34" s="6"/>
      <c r="TD34" s="6"/>
      <c r="TE34" s="6"/>
      <c r="TF34" s="6"/>
      <c r="TG34" s="6"/>
      <c r="TH34" s="6"/>
      <c r="TI34" s="6"/>
      <c r="TJ34" s="6"/>
      <c r="TK34" s="6"/>
      <c r="TL34" s="6"/>
      <c r="TM34" s="6"/>
      <c r="TN34" s="6"/>
      <c r="TO34" s="6"/>
      <c r="TP34" s="6"/>
      <c r="TQ34" s="6"/>
      <c r="TR34" s="6"/>
      <c r="TS34" s="6"/>
      <c r="TT34" s="6"/>
      <c r="TU34" s="6"/>
      <c r="TV34" s="6"/>
      <c r="TW34" s="6"/>
      <c r="TX34" s="6"/>
      <c r="TY34" s="6"/>
      <c r="TZ34" s="6"/>
      <c r="UA34" s="6"/>
      <c r="UB34" s="6"/>
      <c r="UC34" s="6"/>
      <c r="UD34" s="6"/>
      <c r="UE34" s="6"/>
      <c r="UF34" s="6"/>
      <c r="UG34" s="6"/>
      <c r="UH34" s="6"/>
      <c r="UI34" s="6"/>
      <c r="UJ34" s="6"/>
      <c r="UK34" s="6"/>
      <c r="UL34" s="6"/>
      <c r="UM34" s="6"/>
      <c r="UN34" s="6"/>
      <c r="UO34" s="6"/>
      <c r="UP34" s="6"/>
      <c r="UQ34" s="6"/>
      <c r="UR34" s="6"/>
      <c r="US34" s="6"/>
      <c r="UT34" s="6"/>
      <c r="UU34" s="6"/>
      <c r="UV34" s="6"/>
      <c r="UW34" s="6"/>
      <c r="UX34" s="6"/>
      <c r="UY34" s="6"/>
      <c r="UZ34" s="6"/>
      <c r="VA34" s="6"/>
      <c r="VB34" s="6"/>
      <c r="VC34" s="6"/>
      <c r="VD34" s="6"/>
      <c r="VE34" s="6"/>
      <c r="VF34" s="6"/>
      <c r="VG34" s="6"/>
      <c r="VH34" s="6"/>
      <c r="VI34" s="6"/>
      <c r="VJ34" s="6"/>
      <c r="VK34" s="6"/>
      <c r="VL34" s="6"/>
      <c r="VM34" s="6"/>
      <c r="VN34" s="6"/>
      <c r="VO34" s="6"/>
      <c r="VP34" s="6"/>
      <c r="VQ34" s="6"/>
      <c r="VR34" s="6"/>
      <c r="VS34" s="6"/>
      <c r="VT34" s="6"/>
      <c r="VU34" s="6"/>
      <c r="VV34" s="6"/>
      <c r="VW34" s="6"/>
      <c r="VX34" s="6"/>
      <c r="VY34" s="6"/>
      <c r="VZ34" s="6"/>
      <c r="WA34" s="6"/>
      <c r="WB34" s="6"/>
      <c r="WC34" s="6"/>
      <c r="WD34" s="6"/>
      <c r="WE34" s="6"/>
      <c r="WF34" s="6"/>
      <c r="WG34" s="6"/>
      <c r="WH34" s="6"/>
      <c r="WI34" s="6"/>
      <c r="WJ34" s="6"/>
      <c r="WK34" s="6"/>
      <c r="WL34" s="6"/>
      <c r="WM34" s="6"/>
      <c r="WN34" s="6"/>
      <c r="WO34" s="6"/>
      <c r="WP34" s="6"/>
      <c r="WQ34" s="6"/>
      <c r="WR34" s="6"/>
      <c r="WS34" s="6"/>
      <c r="WT34" s="6"/>
      <c r="WU34" s="6"/>
      <c r="WV34" s="6"/>
      <c r="WW34" s="6"/>
      <c r="WX34" s="6"/>
      <c r="WY34" s="6"/>
      <c r="WZ34" s="6"/>
      <c r="XA34" s="6"/>
      <c r="XB34" s="6"/>
      <c r="XC34" s="6"/>
      <c r="XD34" s="6"/>
      <c r="XE34" s="6"/>
      <c r="XF34" s="6"/>
      <c r="XG34" s="6"/>
      <c r="XH34" s="6"/>
      <c r="XI34" s="6"/>
      <c r="XJ34" s="6"/>
      <c r="XK34" s="6"/>
      <c r="XL34" s="6"/>
      <c r="XM34" s="6"/>
      <c r="XN34" s="6"/>
      <c r="XO34" s="6"/>
      <c r="XP34" s="6"/>
      <c r="XQ34" s="6"/>
      <c r="XR34" s="6"/>
      <c r="XS34" s="6"/>
      <c r="XT34" s="6"/>
      <c r="XU34" s="6"/>
      <c r="XV34" s="6"/>
      <c r="XW34" s="6"/>
      <c r="XX34" s="6"/>
      <c r="XY34" s="6"/>
      <c r="XZ34" s="6"/>
      <c r="YA34" s="6"/>
      <c r="YB34" s="6"/>
      <c r="YC34" s="6"/>
      <c r="YD34" s="6"/>
      <c r="YE34" s="6"/>
      <c r="YF34" s="6"/>
      <c r="YG34" s="6"/>
      <c r="YH34" s="6"/>
      <c r="YI34" s="6"/>
      <c r="YJ34" s="6"/>
      <c r="YK34" s="6"/>
      <c r="YL34" s="6"/>
      <c r="YM34" s="6"/>
      <c r="YN34" s="6"/>
      <c r="YO34" s="6"/>
      <c r="YP34" s="6"/>
      <c r="YQ34" s="6"/>
      <c r="YR34" s="6"/>
      <c r="YS34" s="6"/>
      <c r="YT34" s="6"/>
      <c r="YU34" s="6"/>
      <c r="YV34" s="6"/>
      <c r="YW34" s="6"/>
      <c r="YX34" s="6"/>
      <c r="YY34" s="6"/>
      <c r="YZ34" s="6"/>
      <c r="ZA34" s="6"/>
      <c r="ZB34" s="6"/>
      <c r="ZC34" s="6"/>
      <c r="ZD34" s="6"/>
      <c r="ZE34" s="6"/>
      <c r="ZF34" s="6"/>
      <c r="ZG34" s="6"/>
      <c r="ZH34" s="6"/>
      <c r="ZI34" s="6"/>
      <c r="ZJ34" s="6"/>
      <c r="ZK34" s="6"/>
      <c r="ZL34" s="6"/>
      <c r="ZM34" s="6"/>
      <c r="ZN34" s="6"/>
      <c r="ZO34" s="6"/>
      <c r="ZP34" s="6"/>
      <c r="ZQ34" s="6"/>
      <c r="ZR34" s="6"/>
      <c r="ZS34" s="6"/>
      <c r="ZT34" s="6"/>
      <c r="ZU34" s="6"/>
      <c r="ZV34" s="6"/>
      <c r="ZW34" s="6"/>
      <c r="ZX34" s="6"/>
      <c r="ZY34" s="6"/>
      <c r="ZZ34" s="6"/>
      <c r="AAA34" s="6"/>
      <c r="AAB34" s="6"/>
      <c r="AAC34" s="6"/>
      <c r="AAD34" s="6"/>
      <c r="AAE34" s="6"/>
      <c r="AAF34" s="6"/>
      <c r="AAG34" s="6"/>
      <c r="AAH34" s="6"/>
      <c r="AAI34" s="6"/>
      <c r="AAJ34" s="6"/>
      <c r="AAK34" s="6"/>
      <c r="AAL34" s="6"/>
      <c r="AAM34" s="6"/>
      <c r="AAN34" s="6"/>
      <c r="AAO34" s="6"/>
      <c r="AAP34" s="6"/>
      <c r="AAQ34" s="6"/>
      <c r="AAR34" s="6"/>
      <c r="AAS34" s="6"/>
      <c r="AAT34" s="6"/>
      <c r="AAU34" s="6"/>
      <c r="AAV34" s="6"/>
      <c r="AAW34" s="6"/>
      <c r="AAX34" s="6"/>
      <c r="AAY34" s="6"/>
      <c r="AAZ34" s="6"/>
      <c r="ABA34" s="6"/>
      <c r="ABB34" s="6"/>
      <c r="ABC34" s="6"/>
      <c r="ABD34" s="6"/>
      <c r="ABE34" s="6"/>
    </row>
    <row r="35" spans="1:733" ht="11.1" thickBot="1">
      <c r="A35" s="1116"/>
      <c r="B35" s="34" t="s">
        <v>47</v>
      </c>
      <c r="C35" s="77"/>
      <c r="D35" s="10" t="str">
        <f>D$2</f>
        <v>Baseline (Nov-2021)</v>
      </c>
      <c r="E35" s="11">
        <f t="shared" ref="E35:R35" si="12">E$2</f>
        <v>44742</v>
      </c>
      <c r="F35" s="11"/>
      <c r="G35" s="11"/>
      <c r="H35" s="11"/>
      <c r="I35" s="11">
        <f t="shared" si="12"/>
        <v>45107</v>
      </c>
      <c r="J35" s="11"/>
      <c r="K35" s="602">
        <v>45352</v>
      </c>
      <c r="L35" s="602"/>
      <c r="M35" s="11">
        <f t="shared" si="12"/>
        <v>45473</v>
      </c>
      <c r="N35" s="12">
        <v>45717</v>
      </c>
      <c r="O35" s="599"/>
      <c r="P35" s="603">
        <f t="shared" si="12"/>
        <v>46111</v>
      </c>
      <c r="Q35" s="11">
        <f t="shared" si="12"/>
        <v>46477</v>
      </c>
      <c r="R35" s="78" t="str">
        <f t="shared" si="12"/>
        <v>Total Cumulative Unique</v>
      </c>
      <c r="S35" s="1127"/>
    </row>
    <row r="36" spans="1:733" ht="13.5" thickBot="1">
      <c r="A36" s="1116"/>
      <c r="B36" s="1118" t="s">
        <v>228</v>
      </c>
      <c r="C36" s="36" t="s">
        <v>229</v>
      </c>
      <c r="D36" s="79">
        <v>0</v>
      </c>
      <c r="E36" s="80">
        <f>((760000*E81)*0.2)*0.25</f>
        <v>902500</v>
      </c>
      <c r="F36" s="81"/>
      <c r="G36" s="80"/>
      <c r="H36" s="81"/>
      <c r="I36" s="80">
        <f>((760000*I81)*0.2)*0.25</f>
        <v>2280000</v>
      </c>
      <c r="J36" s="80"/>
      <c r="K36" s="498">
        <f>M36*0.75</f>
        <v>3135000</v>
      </c>
      <c r="L36" s="498"/>
      <c r="M36" s="498">
        <f>((760000*M81)*0.2)*0.25</f>
        <v>4180000</v>
      </c>
      <c r="N36" s="653">
        <v>6375825</v>
      </c>
      <c r="O36" s="500"/>
      <c r="P36" s="654">
        <f>((659000*P81)*0.2)*0.25</f>
        <v>10280400</v>
      </c>
      <c r="Q36" s="499">
        <f>P36</f>
        <v>10280400</v>
      </c>
      <c r="R36" s="52">
        <f>IF(Q36,0,P36)</f>
        <v>0</v>
      </c>
      <c r="S36" s="1126"/>
    </row>
    <row r="37" spans="1:733" ht="30.6" thickBot="1">
      <c r="A37" s="1116"/>
      <c r="B37" s="1119"/>
      <c r="C37" s="53" t="s">
        <v>41</v>
      </c>
      <c r="D37" s="83">
        <v>0</v>
      </c>
      <c r="E37" s="84">
        <f>E36*0.3</f>
        <v>270750</v>
      </c>
      <c r="F37" s="85"/>
      <c r="G37" s="84"/>
      <c r="H37" s="85"/>
      <c r="I37" s="69">
        <f>I36*0.3</f>
        <v>684000</v>
      </c>
      <c r="J37" s="69"/>
      <c r="K37" s="500">
        <f>K36*0.65</f>
        <v>2037750</v>
      </c>
      <c r="L37" s="500"/>
      <c r="M37" s="500">
        <f>M36*0.65</f>
        <v>2717000</v>
      </c>
      <c r="N37" s="655">
        <v>4144286.25</v>
      </c>
      <c r="O37" s="501"/>
      <c r="P37" s="656">
        <f>P36*0.65</f>
        <v>6682260</v>
      </c>
      <c r="Q37" s="501">
        <f>P37</f>
        <v>6682260</v>
      </c>
      <c r="R37" s="52">
        <f t="shared" ref="R37:R39" si="13">IF(Q37,0,P37)</f>
        <v>0</v>
      </c>
      <c r="S37" s="1126"/>
    </row>
    <row r="38" spans="1:733" ht="21.6" thickBot="1">
      <c r="A38" s="1116"/>
      <c r="B38" s="1119"/>
      <c r="C38" s="20" t="s">
        <v>230</v>
      </c>
      <c r="D38" s="86">
        <v>0</v>
      </c>
      <c r="E38" s="69">
        <f>((760000*E81*0.5)*0.2)*0.25</f>
        <v>451250</v>
      </c>
      <c r="F38" s="85"/>
      <c r="G38" s="87"/>
      <c r="H38" s="85"/>
      <c r="I38" s="69">
        <f t="shared" ref="I38" si="14">((760000*I81*0.5)*0.2)*0.25</f>
        <v>1140000</v>
      </c>
      <c r="J38" s="69"/>
      <c r="K38" s="500">
        <f>M38*0.85</f>
        <v>1776500</v>
      </c>
      <c r="L38" s="500"/>
      <c r="M38" s="500">
        <f>((760000*M81*0.5)*0.2)*0.25</f>
        <v>2090000</v>
      </c>
      <c r="N38" s="657">
        <v>3187912.5</v>
      </c>
      <c r="O38" s="500"/>
      <c r="P38" s="656">
        <f>((659000*P81*0.5)*0.2)*0.25</f>
        <v>5140200</v>
      </c>
      <c r="Q38" s="502">
        <f>P38</f>
        <v>5140200</v>
      </c>
      <c r="R38" s="52">
        <f t="shared" si="13"/>
        <v>0</v>
      </c>
      <c r="S38" s="1126"/>
    </row>
    <row r="39" spans="1:733" ht="30.6" thickBot="1">
      <c r="A39" s="1116"/>
      <c r="B39" s="1119"/>
      <c r="C39" s="60" t="s">
        <v>41</v>
      </c>
      <c r="D39" s="88">
        <v>0</v>
      </c>
      <c r="E39" s="89">
        <f>E38*0.3</f>
        <v>135375</v>
      </c>
      <c r="F39" s="90"/>
      <c r="G39" s="89"/>
      <c r="H39" s="90"/>
      <c r="I39" s="89">
        <f t="shared" ref="I39" si="15">I38*0.3</f>
        <v>342000</v>
      </c>
      <c r="J39" s="89"/>
      <c r="K39" s="503">
        <f>K38*0.65</f>
        <v>1154725</v>
      </c>
      <c r="L39" s="503"/>
      <c r="M39" s="503">
        <f>M38*0.65</f>
        <v>1358500</v>
      </c>
      <c r="N39" s="658">
        <v>2072143.125</v>
      </c>
      <c r="O39" s="501"/>
      <c r="P39" s="659">
        <f>P38*0.5</f>
        <v>2570100</v>
      </c>
      <c r="Q39" s="504">
        <f>Q38*0.5</f>
        <v>2570100</v>
      </c>
      <c r="R39" s="52">
        <f t="shared" si="13"/>
        <v>0</v>
      </c>
      <c r="S39" s="1126"/>
    </row>
    <row r="40" spans="1:733" ht="60.6" thickBot="1">
      <c r="A40" s="1116"/>
      <c r="B40" s="1119"/>
      <c r="C40" s="36" t="s">
        <v>231</v>
      </c>
      <c r="D40" s="79">
        <v>0</v>
      </c>
      <c r="E40" s="82">
        <f>((15642383.06*0.2)*0.25)</f>
        <v>782119.15300000005</v>
      </c>
      <c r="F40" s="91" t="s">
        <v>232</v>
      </c>
      <c r="G40" s="54">
        <f>((23212083.19*0.2)*0.25)</f>
        <v>1160604.1595000001</v>
      </c>
      <c r="H40" s="26" t="s">
        <v>233</v>
      </c>
      <c r="I40" s="56">
        <f>((52509102.35*0.2)*0.25)</f>
        <v>2625455.1175000002</v>
      </c>
      <c r="J40" s="26" t="s">
        <v>234</v>
      </c>
      <c r="K40" s="660">
        <f>((67130642.68*0.2)*0.25)</f>
        <v>3356532.1340000005</v>
      </c>
      <c r="L40" s="627" t="s">
        <v>235</v>
      </c>
      <c r="M40" s="661"/>
      <c r="N40" s="662">
        <f>161822700.119752*0.2*0.25</f>
        <v>8091135.0059875995</v>
      </c>
      <c r="O40" s="663" t="s">
        <v>236</v>
      </c>
      <c r="P40" s="664"/>
      <c r="Q40" s="505"/>
      <c r="R40" s="52">
        <f t="shared" ref="R40:R43" si="16">SUM(E40:Q40)</f>
        <v>16015845.569987599</v>
      </c>
      <c r="S40" s="1126"/>
    </row>
    <row r="41" spans="1:733" ht="120.6" thickBot="1">
      <c r="A41" s="1116"/>
      <c r="B41" s="1119"/>
      <c r="C41" s="53" t="s">
        <v>41</v>
      </c>
      <c r="D41" s="92">
        <v>0</v>
      </c>
      <c r="E41" s="69">
        <f>(15063571.96*0.2)*0.25</f>
        <v>753178.59800000011</v>
      </c>
      <c r="F41" s="62" t="s">
        <v>223</v>
      </c>
      <c r="G41" s="56">
        <f>(18367855.87*0.2)*0.25</f>
        <v>918392.79350000015</v>
      </c>
      <c r="H41" s="26" t="s">
        <v>213</v>
      </c>
      <c r="I41" s="56">
        <f>(34482841.92*0.2)*0.25</f>
        <v>1724142.0960000001</v>
      </c>
      <c r="J41" s="26" t="s">
        <v>237</v>
      </c>
      <c r="K41" s="660">
        <f>(43715506.68*0.2)*0.25</f>
        <v>2185775.3340000003</v>
      </c>
      <c r="L41" s="627" t="s">
        <v>235</v>
      </c>
      <c r="M41" s="665"/>
      <c r="N41" s="662">
        <f>104800843.632493*0.2*0.25</f>
        <v>5240042.181624651</v>
      </c>
      <c r="O41" s="663" t="s">
        <v>238</v>
      </c>
      <c r="P41" s="666"/>
      <c r="Q41" s="506"/>
      <c r="R41" s="68">
        <f t="shared" si="16"/>
        <v>10821531.003124652</v>
      </c>
      <c r="S41" s="1126"/>
    </row>
    <row r="42" spans="1:733" ht="32.1" customHeight="1" thickBot="1">
      <c r="A42" s="1116"/>
      <c r="B42" s="1119"/>
      <c r="C42" s="20" t="s">
        <v>239</v>
      </c>
      <c r="D42" s="86">
        <v>0</v>
      </c>
      <c r="E42" s="69">
        <f>(11134350.33*0.2)*0.25</f>
        <v>556717.51650000003</v>
      </c>
      <c r="F42" s="71" t="s">
        <v>240</v>
      </c>
      <c r="G42" s="54">
        <f>(16950510.85*0.2)*0.25</f>
        <v>847525.5425000001</v>
      </c>
      <c r="H42" s="26" t="s">
        <v>241</v>
      </c>
      <c r="I42" s="56">
        <f>(31539464.3*0.2)*0.25</f>
        <v>1576973.2150000001</v>
      </c>
      <c r="J42" s="26" t="s">
        <v>242</v>
      </c>
      <c r="K42" s="660">
        <f>(31806968.035*0.2)*0.25</f>
        <v>1590348.4017500002</v>
      </c>
      <c r="L42" s="627" t="s">
        <v>243</v>
      </c>
      <c r="M42" s="667"/>
      <c r="N42" s="668">
        <f>(0.05*33941766.5106156)+(66344648.62*0.025)</f>
        <v>3355704.5410307804</v>
      </c>
      <c r="O42" s="663" t="s">
        <v>244</v>
      </c>
      <c r="P42" s="656"/>
      <c r="Q42" s="507"/>
      <c r="R42" s="52">
        <f t="shared" si="16"/>
        <v>7927269.2167807808</v>
      </c>
      <c r="S42" s="1126"/>
    </row>
    <row r="43" spans="1:733" ht="120" customHeight="1" thickBot="1">
      <c r="A43" s="1116"/>
      <c r="B43" s="1119"/>
      <c r="C43" s="60" t="s">
        <v>41</v>
      </c>
      <c r="D43" s="88">
        <v>0</v>
      </c>
      <c r="E43" s="69">
        <f>(10606139.23*0.2)*0.25</f>
        <v>530306.96150000009</v>
      </c>
      <c r="F43" s="62" t="s">
        <v>223</v>
      </c>
      <c r="G43" s="54">
        <f>(12775519.03*0.2)*0.25</f>
        <v>638775.95149999997</v>
      </c>
      <c r="H43" s="26" t="s">
        <v>245</v>
      </c>
      <c r="I43" s="56">
        <f>(17850481.79*0.2)*0.25</f>
        <v>892524.0895</v>
      </c>
      <c r="J43" s="26" t="s">
        <v>246</v>
      </c>
      <c r="K43" s="660">
        <f>(18429437.85*0.2)*0.25</f>
        <v>921471.89250000007</v>
      </c>
      <c r="L43" s="627" t="s">
        <v>247</v>
      </c>
      <c r="M43" s="669"/>
      <c r="N43" s="668">
        <f>(0.025*48846915.548374)+(0.05*16910517.57)</f>
        <v>2066698.7672093501</v>
      </c>
      <c r="O43" s="663" t="s">
        <v>211</v>
      </c>
      <c r="P43" s="659"/>
      <c r="Q43" s="508"/>
      <c r="R43" s="52">
        <f t="shared" si="16"/>
        <v>5049777.6622093506</v>
      </c>
      <c r="S43" s="1126"/>
    </row>
    <row r="44" spans="1:733" ht="11.1" thickBot="1">
      <c r="A44" s="1116"/>
      <c r="B44" s="1116"/>
      <c r="C44" s="1120" t="s">
        <v>194</v>
      </c>
      <c r="D44" s="1121"/>
      <c r="E44" s="1121"/>
      <c r="F44" s="1121"/>
      <c r="G44" s="1121"/>
      <c r="H44" s="1121"/>
      <c r="I44" s="1121"/>
      <c r="J44" s="1121"/>
      <c r="K44" s="1121"/>
      <c r="L44" s="1121"/>
      <c r="M44" s="1121"/>
      <c r="N44" s="1121"/>
      <c r="O44" s="1121"/>
      <c r="P44" s="1121"/>
      <c r="Q44" s="1121"/>
      <c r="R44" s="1121"/>
      <c r="S44" s="1127"/>
    </row>
    <row r="45" spans="1:733" ht="14.1" customHeight="1" thickBot="1">
      <c r="A45" s="1116"/>
      <c r="B45" s="1117"/>
      <c r="C45" s="1131"/>
      <c r="D45" s="1132"/>
      <c r="E45" s="1132"/>
      <c r="F45" s="1132"/>
      <c r="G45" s="1132"/>
      <c r="H45" s="1132"/>
      <c r="I45" s="1132"/>
      <c r="J45" s="1132"/>
      <c r="K45" s="1132"/>
      <c r="L45" s="1132"/>
      <c r="M45" s="1132"/>
      <c r="N45" s="1132"/>
      <c r="O45" s="1132"/>
      <c r="P45" s="1132"/>
      <c r="Q45" s="1132"/>
      <c r="R45" s="1133"/>
      <c r="S45" s="1127"/>
    </row>
    <row r="46" spans="1:733" ht="11.1" thickBot="1">
      <c r="A46" s="1116"/>
      <c r="B46" s="34" t="s">
        <v>55</v>
      </c>
      <c r="C46" s="77"/>
      <c r="D46" s="10" t="str">
        <f>D$2</f>
        <v>Baseline (Nov-2021)</v>
      </c>
      <c r="E46" s="11">
        <f t="shared" ref="E46:R46" si="17">E$2</f>
        <v>44742</v>
      </c>
      <c r="F46" s="11"/>
      <c r="G46" s="11"/>
      <c r="H46" s="11"/>
      <c r="I46" s="11">
        <f t="shared" si="17"/>
        <v>45107</v>
      </c>
      <c r="J46" s="11"/>
      <c r="K46" s="602">
        <v>45352</v>
      </c>
      <c r="L46" s="602"/>
      <c r="M46" s="11">
        <f t="shared" si="17"/>
        <v>45473</v>
      </c>
      <c r="N46" s="12">
        <v>45717</v>
      </c>
      <c r="O46" s="599"/>
      <c r="P46" s="603">
        <f t="shared" si="17"/>
        <v>46111</v>
      </c>
      <c r="Q46" s="11">
        <f t="shared" si="17"/>
        <v>46477</v>
      </c>
      <c r="R46" s="78" t="str">
        <f t="shared" si="17"/>
        <v>Total Cumulative Unique</v>
      </c>
      <c r="S46" s="1127"/>
    </row>
    <row r="47" spans="1:733" ht="13.5" thickBot="1">
      <c r="A47" s="1116"/>
      <c r="B47" s="1118" t="s">
        <v>248</v>
      </c>
      <c r="C47" s="93" t="s">
        <v>29</v>
      </c>
      <c r="D47" s="40">
        <v>0</v>
      </c>
      <c r="E47" s="40">
        <v>0</v>
      </c>
      <c r="F47" s="94"/>
      <c r="G47" s="40"/>
      <c r="H47" s="94"/>
      <c r="I47" s="40">
        <v>0</v>
      </c>
      <c r="J47" s="40"/>
      <c r="K47" s="670">
        <v>0</v>
      </c>
      <c r="L47" s="670"/>
      <c r="M47" s="40">
        <v>0</v>
      </c>
      <c r="N47" s="14">
        <v>0</v>
      </c>
      <c r="O47" s="22"/>
      <c r="P47" s="671">
        <v>1</v>
      </c>
      <c r="Q47" s="40">
        <f>P47</f>
        <v>1</v>
      </c>
      <c r="R47" s="478">
        <f t="shared" ref="R47" si="18">Q47+IF(Q47,0,P47)</f>
        <v>1</v>
      </c>
      <c r="S47" s="1127"/>
    </row>
    <row r="48" spans="1:733" ht="79.5" customHeight="1" thickBot="1">
      <c r="A48" s="1116"/>
      <c r="B48" s="1119"/>
      <c r="C48" s="93" t="s">
        <v>31</v>
      </c>
      <c r="D48" s="95">
        <v>0</v>
      </c>
      <c r="E48" s="40">
        <v>0</v>
      </c>
      <c r="F48" s="96" t="s">
        <v>182</v>
      </c>
      <c r="G48" s="40">
        <v>0</v>
      </c>
      <c r="H48" s="26" t="s">
        <v>249</v>
      </c>
      <c r="I48" s="40">
        <v>0</v>
      </c>
      <c r="J48" s="26" t="s">
        <v>250</v>
      </c>
      <c r="K48" s="670"/>
      <c r="L48" s="627" t="s">
        <v>251</v>
      </c>
      <c r="M48" s="40"/>
      <c r="N48" s="672">
        <v>0</v>
      </c>
      <c r="O48" s="612" t="s">
        <v>252</v>
      </c>
      <c r="P48" s="671"/>
      <c r="Q48" s="40"/>
      <c r="R48" s="40"/>
      <c r="S48" s="1127"/>
    </row>
    <row r="49" spans="1:19" ht="11.1" thickBot="1">
      <c r="A49" s="1116"/>
      <c r="B49" s="1119"/>
      <c r="C49" s="1134" t="s">
        <v>253</v>
      </c>
      <c r="D49" s="1135"/>
      <c r="E49" s="1135"/>
      <c r="F49" s="1135"/>
      <c r="G49" s="1135"/>
      <c r="H49" s="1135"/>
      <c r="I49" s="1135"/>
      <c r="J49" s="1135"/>
      <c r="K49" s="1135"/>
      <c r="L49" s="1135"/>
      <c r="M49" s="1135"/>
      <c r="N49" s="1135"/>
      <c r="O49" s="1135"/>
      <c r="P49" s="1135"/>
      <c r="Q49" s="1135"/>
      <c r="R49" s="1135"/>
      <c r="S49" s="1127"/>
    </row>
    <row r="50" spans="1:19" ht="10.5" thickBot="1">
      <c r="A50" s="1116"/>
      <c r="B50" s="1117"/>
      <c r="C50" s="1123" t="s">
        <v>254</v>
      </c>
      <c r="D50" s="1124"/>
      <c r="E50" s="1124"/>
      <c r="F50" s="1124"/>
      <c r="G50" s="1124"/>
      <c r="H50" s="1124"/>
      <c r="I50" s="1124"/>
      <c r="J50" s="1124"/>
      <c r="K50" s="1124"/>
      <c r="L50" s="1124"/>
      <c r="M50" s="1124"/>
      <c r="N50" s="1124"/>
      <c r="O50" s="1124"/>
      <c r="P50" s="1124"/>
      <c r="Q50" s="1124"/>
      <c r="R50" s="1124"/>
      <c r="S50" s="1127"/>
    </row>
    <row r="51" spans="1:19" ht="10.5" thickBot="1">
      <c r="N51" s="98"/>
      <c r="O51" s="673"/>
    </row>
    <row r="52" spans="1:19" ht="11.1" thickBot="1">
      <c r="A52" s="7" t="s">
        <v>75</v>
      </c>
      <c r="B52" s="8" t="s">
        <v>76</v>
      </c>
      <c r="C52" s="35"/>
      <c r="D52" s="10" t="str">
        <f>D$2</f>
        <v>Baseline (Nov-2021)</v>
      </c>
      <c r="E52" s="11">
        <f t="shared" ref="E52:R52" si="19">E$2</f>
        <v>44742</v>
      </c>
      <c r="F52" s="11"/>
      <c r="G52" s="11"/>
      <c r="H52" s="11"/>
      <c r="I52" s="11">
        <f t="shared" si="19"/>
        <v>45107</v>
      </c>
      <c r="J52" s="11"/>
      <c r="K52" s="602">
        <v>45352</v>
      </c>
      <c r="L52" s="602"/>
      <c r="M52" s="11">
        <f t="shared" si="19"/>
        <v>45473</v>
      </c>
      <c r="N52" s="12">
        <v>45717</v>
      </c>
      <c r="O52" s="599"/>
      <c r="P52" s="603">
        <f t="shared" si="19"/>
        <v>46111</v>
      </c>
      <c r="Q52" s="11">
        <f t="shared" si="19"/>
        <v>46477</v>
      </c>
      <c r="R52" s="12" t="str">
        <f t="shared" si="19"/>
        <v>Total Cumulative Unique</v>
      </c>
      <c r="S52" s="48" t="s">
        <v>35</v>
      </c>
    </row>
    <row r="53" spans="1:19" ht="134.44999999999999" customHeight="1">
      <c r="A53" s="1115" t="s">
        <v>255</v>
      </c>
      <c r="B53" s="1115" t="s">
        <v>256</v>
      </c>
      <c r="C53" s="93" t="s">
        <v>29</v>
      </c>
      <c r="D53" s="100" t="str">
        <f>IF(ISERROR((#REF!+#REF!)/(#REF!+#REF!)),"-",TEXT(#REF!+#REF!,"£0,0") &amp; " (" &amp; TEXT((#REF!+#REF!)/(#REF!+#REF!),"0%") &amp; ")")</f>
        <v>-</v>
      </c>
      <c r="E53" s="100" t="s">
        <v>257</v>
      </c>
      <c r="F53" s="100"/>
      <c r="G53" s="100"/>
      <c r="H53" s="100"/>
      <c r="I53" s="100" t="str">
        <f>IF(ISERROR((#REF!+#REF!)/(#REF!+#REF!)),"-",TEXT(#REF!+#REF!,"£0,0") &amp; " (" &amp; TEXT((#REF!+#REF!)/(#REF!+#REF!),"0%") &amp; ")")</f>
        <v>-</v>
      </c>
      <c r="J53" s="100"/>
      <c r="K53" s="40"/>
      <c r="L53" s="40"/>
      <c r="M53" s="100" t="str">
        <f>IF(ISERROR((#REF!+#REF!)/(#REF!+#REF!)),"-",TEXT(#REF!+#REF!,"£0,0") &amp; " (" &amp; TEXT((#REF!+#REF!)/(#REF!+#REF!),"0%") &amp; ")")</f>
        <v>-</v>
      </c>
      <c r="N53" s="674"/>
      <c r="O53" s="675"/>
      <c r="P53" s="676" t="str">
        <f>IF(ISERROR((#REF!+#REF!)/(#REF!+#REF!)),"-",TEXT(#REF!+#REF!,"£0,0") &amp; " (" &amp; TEXT((#REF!+#REF!)/(#REF!+#REF!),"0%") &amp; ")")</f>
        <v>-</v>
      </c>
      <c r="Q53" s="100" t="str">
        <f>IF(ISERROR((#REF!+#REF!)/(#REF!+#REF!)),"-",TEXT(#REF!+#REF!,"£0,0") &amp; " (" &amp; TEXT((#REF!+#REF!)/(#REF!+#REF!),"0%") &amp; ")")</f>
        <v>-</v>
      </c>
      <c r="R53" s="100" t="str">
        <f>IF(ISERROR((#REF!+#REF!)/(#REF!+#REF!)),"-",TEXT(#REF!+#REF!,"£0,0") &amp; " (" &amp; TEXT((#REF!+#REF!)/(#REF!+#REF!),"0%") &amp; ")")</f>
        <v>-</v>
      </c>
      <c r="S53" s="1126" t="s">
        <v>258</v>
      </c>
    </row>
    <row r="54" spans="1:19" ht="11.1" thickBot="1">
      <c r="A54" s="1116"/>
      <c r="B54" s="1117"/>
      <c r="C54" s="101" t="s">
        <v>31</v>
      </c>
      <c r="D54" s="102" t="str">
        <f>IF(ISERROR((#REF!+#REF!)/(#REF!+#REF!)),"-",TEXT(#REF!+#REF!,"£0,0") &amp; " (" &amp; TEXT((#REF!+#REF!)/(#REF!+#REF!),"0%") &amp; ")")</f>
        <v>-</v>
      </c>
      <c r="E54" s="103" t="s">
        <v>82</v>
      </c>
      <c r="F54" s="103"/>
      <c r="G54" s="103"/>
      <c r="H54" s="103"/>
      <c r="I54" s="103" t="str">
        <f>IF(ISERROR((#REF!+#REF!)/(#REF!+#REF!)),"-",TEXT(#REF!+#REF!,"£0,0") &amp; " (" &amp; TEXT((#REF!+#REF!)/(#REF!+#REF!),"0%") &amp; ")")</f>
        <v>-</v>
      </c>
      <c r="J54" s="103"/>
      <c r="K54" s="677"/>
      <c r="L54" s="677"/>
      <c r="M54" s="103" t="str">
        <f>IF(ISERROR((#REF!+#REF!)/(#REF!+#REF!)),"-",TEXT(#REF!+#REF!,"£0,0") &amp; " (" &amp; TEXT((#REF!+#REF!)/(#REF!+#REF!),"0%") &amp; ")")</f>
        <v>-</v>
      </c>
      <c r="N54" s="678"/>
      <c r="O54" s="675"/>
      <c r="P54" s="679" t="str">
        <f>IF(ISERROR((#REF!+#REF!)/(#REF!+#REF!)),"-",TEXT(#REF!+#REF!,"£0,0") &amp; " (" &amp; TEXT((#REF!+#REF!)/(#REF!+#REF!),"0%") &amp; ")")</f>
        <v>-</v>
      </c>
      <c r="Q54" s="103" t="str">
        <f>IF(ISERROR((#REF!+#REF!)/(#REF!+#REF!)),"-",TEXT(#REF!+#REF!,"£0,0") &amp; " (" &amp; TEXT((#REF!+#REF!)/(#REF!+#REF!),"0%") &amp; ")")</f>
        <v>-</v>
      </c>
      <c r="R54" s="103" t="str">
        <f>IF(ISERROR((#REF!+#REF!)/(#REF!+#REF!)),"-",TEXT(#REF!+#REF!,"£0,0") &amp; " (" &amp; TEXT((#REF!+#REF!)/(#REF!+#REF!),"0%") &amp; ")")</f>
        <v>-</v>
      </c>
      <c r="S54" s="1126"/>
    </row>
    <row r="55" spans="1:19" ht="11.1" thickBot="1">
      <c r="A55" s="1116"/>
      <c r="B55" s="104" t="s">
        <v>83</v>
      </c>
      <c r="C55" s="1120" t="s">
        <v>18</v>
      </c>
      <c r="D55" s="1121"/>
      <c r="E55" s="1121"/>
      <c r="F55" s="1121"/>
      <c r="G55" s="1121"/>
      <c r="H55" s="1121"/>
      <c r="I55" s="1121"/>
      <c r="J55" s="1121"/>
      <c r="K55" s="1121"/>
      <c r="L55" s="1121"/>
      <c r="M55" s="1121"/>
      <c r="N55" s="1121"/>
      <c r="O55" s="1121"/>
      <c r="P55" s="1121"/>
      <c r="Q55" s="1121"/>
      <c r="R55" s="1121"/>
      <c r="S55" s="1126"/>
    </row>
    <row r="56" spans="1:19" ht="10.5" thickBot="1">
      <c r="A56" s="1116"/>
      <c r="B56" s="105">
        <v>0.2</v>
      </c>
      <c r="C56" s="1131"/>
      <c r="D56" s="1132"/>
      <c r="E56" s="1132"/>
      <c r="F56" s="1132"/>
      <c r="G56" s="1132"/>
      <c r="H56" s="1132"/>
      <c r="I56" s="1132"/>
      <c r="J56" s="1132"/>
      <c r="K56" s="1132"/>
      <c r="L56" s="1132"/>
      <c r="M56" s="1132"/>
      <c r="N56" s="1132"/>
      <c r="O56" s="1132"/>
      <c r="P56" s="1132"/>
      <c r="Q56" s="1132"/>
      <c r="R56" s="1132"/>
      <c r="S56" s="1126"/>
    </row>
    <row r="57" spans="1:19" ht="11.1" thickBot="1">
      <c r="A57" s="1116"/>
      <c r="B57" s="34" t="s">
        <v>85</v>
      </c>
      <c r="C57" s="77"/>
      <c r="D57" s="10" t="str">
        <f>D$2</f>
        <v>Baseline (Nov-2021)</v>
      </c>
      <c r="E57" s="11">
        <f t="shared" ref="E57:R57" si="20">E$2</f>
        <v>44742</v>
      </c>
      <c r="F57" s="11"/>
      <c r="G57" s="11"/>
      <c r="H57" s="11"/>
      <c r="I57" s="11">
        <f t="shared" si="20"/>
        <v>45107</v>
      </c>
      <c r="J57" s="11"/>
      <c r="K57" s="602">
        <v>45352</v>
      </c>
      <c r="L57" s="602"/>
      <c r="M57" s="11">
        <f t="shared" si="20"/>
        <v>45473</v>
      </c>
      <c r="N57" s="12">
        <v>45717</v>
      </c>
      <c r="O57" s="599"/>
      <c r="P57" s="603">
        <f t="shared" si="20"/>
        <v>46111</v>
      </c>
      <c r="Q57" s="11">
        <f t="shared" si="20"/>
        <v>46477</v>
      </c>
      <c r="R57" s="78" t="str">
        <f t="shared" si="20"/>
        <v>Total Cumulative Unique</v>
      </c>
      <c r="S57" s="1126"/>
    </row>
    <row r="58" spans="1:19" ht="13.5" thickBot="1">
      <c r="A58" s="1116"/>
      <c r="B58" s="1115" t="s">
        <v>259</v>
      </c>
      <c r="C58" s="93" t="s">
        <v>29</v>
      </c>
      <c r="D58" s="106">
        <v>0</v>
      </c>
      <c r="E58" s="106">
        <v>4</v>
      </c>
      <c r="F58" s="107"/>
      <c r="G58" s="106"/>
      <c r="H58" s="107"/>
      <c r="I58" s="106">
        <f>10+E58</f>
        <v>14</v>
      </c>
      <c r="J58" s="106"/>
      <c r="K58" s="495">
        <v>34</v>
      </c>
      <c r="L58" s="495"/>
      <c r="M58" s="495">
        <f>12+I58+12</f>
        <v>38</v>
      </c>
      <c r="N58" s="680">
        <f>K58+17</f>
        <v>51</v>
      </c>
      <c r="O58" s="681"/>
      <c r="P58" s="496">
        <v>61</v>
      </c>
      <c r="Q58" s="496">
        <f>P58</f>
        <v>61</v>
      </c>
      <c r="R58" s="478">
        <f t="shared" ref="R58" si="21">Q58+IF(Q58,0,P58)</f>
        <v>61</v>
      </c>
      <c r="S58" s="1126"/>
    </row>
    <row r="59" spans="1:19" ht="30.6" thickBot="1">
      <c r="A59" s="1116"/>
      <c r="B59" s="1116"/>
      <c r="C59" s="109" t="s">
        <v>88</v>
      </c>
      <c r="D59" s="110">
        <v>0</v>
      </c>
      <c r="E59" s="111">
        <f>E58*0.3</f>
        <v>1.2</v>
      </c>
      <c r="F59" s="112"/>
      <c r="G59" s="111"/>
      <c r="H59" s="112"/>
      <c r="I59" s="110">
        <f t="shared" ref="I59" si="22">I58*0.3</f>
        <v>4.2</v>
      </c>
      <c r="J59" s="110"/>
      <c r="K59" s="480">
        <f>K58*0.35</f>
        <v>11.899999999999999</v>
      </c>
      <c r="L59" s="480"/>
      <c r="M59" s="480">
        <f>M58*0.35</f>
        <v>13.299999999999999</v>
      </c>
      <c r="N59" s="682">
        <f>N58*0.35</f>
        <v>17.849999999999998</v>
      </c>
      <c r="O59" s="683"/>
      <c r="P59" s="684">
        <v>21.349999999999998</v>
      </c>
      <c r="Q59" s="497">
        <f>P59</f>
        <v>21.349999999999998</v>
      </c>
      <c r="R59" s="478">
        <f>IF(Q59,0,P59)</f>
        <v>0</v>
      </c>
      <c r="S59" s="1126"/>
    </row>
    <row r="60" spans="1:19" ht="40.5" thickBot="1">
      <c r="A60" s="1116"/>
      <c r="B60" s="1116"/>
      <c r="C60" s="101" t="s">
        <v>31</v>
      </c>
      <c r="D60" s="113">
        <v>0</v>
      </c>
      <c r="E60" s="114">
        <v>4</v>
      </c>
      <c r="F60" s="115" t="s">
        <v>182</v>
      </c>
      <c r="G60" s="114">
        <v>13</v>
      </c>
      <c r="H60" s="26" t="s">
        <v>260</v>
      </c>
      <c r="I60" s="114">
        <v>28</v>
      </c>
      <c r="J60" s="26" t="s">
        <v>261</v>
      </c>
      <c r="K60" s="476">
        <v>46</v>
      </c>
      <c r="L60" s="627" t="s">
        <v>262</v>
      </c>
      <c r="M60" s="685"/>
      <c r="N60" s="682">
        <f>K60+17</f>
        <v>63</v>
      </c>
      <c r="O60" s="663" t="s">
        <v>263</v>
      </c>
      <c r="P60" s="686"/>
      <c r="Q60" s="477"/>
      <c r="R60" s="116"/>
      <c r="S60" s="1126"/>
    </row>
    <row r="61" spans="1:19" ht="50.45" thickBot="1">
      <c r="A61" s="1116"/>
      <c r="B61" s="1117"/>
      <c r="C61" s="109" t="s">
        <v>88</v>
      </c>
      <c r="D61" s="88">
        <v>0</v>
      </c>
      <c r="E61" s="117">
        <v>0</v>
      </c>
      <c r="F61" s="62" t="s">
        <v>264</v>
      </c>
      <c r="G61" s="117">
        <v>1</v>
      </c>
      <c r="H61" s="26" t="s">
        <v>265</v>
      </c>
      <c r="I61" s="114">
        <v>8</v>
      </c>
      <c r="J61" s="26" t="s">
        <v>266</v>
      </c>
      <c r="K61" s="476">
        <v>18</v>
      </c>
      <c r="L61" s="627" t="s">
        <v>267</v>
      </c>
      <c r="M61" s="687"/>
      <c r="N61" s="682">
        <v>26</v>
      </c>
      <c r="O61" s="663" t="s">
        <v>268</v>
      </c>
      <c r="P61" s="688"/>
      <c r="Q61" s="480"/>
      <c r="R61" s="111"/>
      <c r="S61" s="1126"/>
    </row>
    <row r="62" spans="1:19" ht="11.1" thickBot="1">
      <c r="A62" s="1116"/>
      <c r="B62" s="104" t="s">
        <v>83</v>
      </c>
      <c r="C62" s="1120" t="s">
        <v>269</v>
      </c>
      <c r="D62" s="1121"/>
      <c r="E62" s="1121"/>
      <c r="F62" s="1121"/>
      <c r="G62" s="1121"/>
      <c r="H62" s="1121"/>
      <c r="I62" s="1121"/>
      <c r="J62" s="1121"/>
      <c r="K62" s="1121"/>
      <c r="L62" s="1121"/>
      <c r="M62" s="1121"/>
      <c r="N62" s="1121"/>
      <c r="O62" s="1121"/>
      <c r="P62" s="1121"/>
      <c r="Q62" s="1121"/>
      <c r="R62" s="1121"/>
      <c r="S62" s="1126"/>
    </row>
    <row r="63" spans="1:19" ht="10.5" thickBot="1">
      <c r="A63" s="1116"/>
      <c r="B63" s="105">
        <v>0.2</v>
      </c>
      <c r="C63" s="1123"/>
      <c r="D63" s="1124"/>
      <c r="E63" s="1124"/>
      <c r="F63" s="1124"/>
      <c r="G63" s="1124"/>
      <c r="H63" s="1124"/>
      <c r="I63" s="1124"/>
      <c r="J63" s="1124"/>
      <c r="K63" s="1124"/>
      <c r="L63" s="1124"/>
      <c r="M63" s="1124"/>
      <c r="N63" s="1124"/>
      <c r="O63" s="1124"/>
      <c r="P63" s="1124"/>
      <c r="Q63" s="1124"/>
      <c r="R63" s="1124"/>
      <c r="S63" s="1126"/>
    </row>
    <row r="64" spans="1:19" s="489" customFormat="1" ht="21.6" thickBot="1">
      <c r="A64" s="1116"/>
      <c r="B64" s="483" t="s">
        <v>89</v>
      </c>
      <c r="C64" s="484"/>
      <c r="D64" s="485" t="str">
        <f>D$2</f>
        <v>Baseline (Nov-2021)</v>
      </c>
      <c r="E64" s="486">
        <f t="shared" ref="E64:R64" si="23">E$2</f>
        <v>44742</v>
      </c>
      <c r="F64" s="486"/>
      <c r="G64" s="486"/>
      <c r="H64" s="486"/>
      <c r="I64" s="486">
        <f t="shared" si="23"/>
        <v>45107</v>
      </c>
      <c r="J64" s="486"/>
      <c r="K64" s="689">
        <v>45352</v>
      </c>
      <c r="L64" s="689" t="s">
        <v>270</v>
      </c>
      <c r="M64" s="486">
        <f t="shared" si="23"/>
        <v>45473</v>
      </c>
      <c r="N64" s="487">
        <v>45717</v>
      </c>
      <c r="O64" s="690"/>
      <c r="P64" s="691">
        <f t="shared" si="23"/>
        <v>46111</v>
      </c>
      <c r="Q64" s="487">
        <v>46447</v>
      </c>
      <c r="R64" s="488" t="str">
        <f t="shared" si="23"/>
        <v>Total Cumulative Unique</v>
      </c>
      <c r="S64" s="1126"/>
    </row>
    <row r="65" spans="1:19" s="489" customFormat="1" ht="21" customHeight="1" thickBot="1">
      <c r="A65" s="1116"/>
      <c r="B65" s="1136" t="s">
        <v>90</v>
      </c>
      <c r="C65" s="586" t="s">
        <v>29</v>
      </c>
      <c r="D65" s="113"/>
      <c r="E65" s="113"/>
      <c r="F65" s="490"/>
      <c r="G65" s="490"/>
      <c r="H65" s="490"/>
      <c r="I65" s="490"/>
      <c r="J65" s="490"/>
      <c r="K65" s="490"/>
      <c r="L65" s="490"/>
      <c r="M65" s="490"/>
      <c r="N65" s="692">
        <v>0.7</v>
      </c>
      <c r="O65" s="693"/>
      <c r="P65" s="694"/>
      <c r="Q65" s="493"/>
      <c r="R65" s="478">
        <f>IF(Q65,0,P65)</f>
        <v>0</v>
      </c>
      <c r="S65" s="1126"/>
    </row>
    <row r="66" spans="1:19" s="489" customFormat="1" ht="21" customHeight="1" thickBot="1">
      <c r="A66" s="1116"/>
      <c r="B66" s="1137"/>
      <c r="C66" s="587" t="s">
        <v>31</v>
      </c>
      <c r="D66" s="88"/>
      <c r="E66" s="88"/>
      <c r="F66" s="494"/>
      <c r="G66" s="494"/>
      <c r="H66" s="494"/>
      <c r="I66" s="494"/>
      <c r="J66" s="494"/>
      <c r="K66" s="494"/>
      <c r="L66" s="494"/>
      <c r="M66" s="695"/>
      <c r="N66" s="696">
        <v>0.89</v>
      </c>
      <c r="O66" s="663" t="s">
        <v>236</v>
      </c>
      <c r="P66" s="697"/>
      <c r="Q66" s="494"/>
      <c r="R66" s="494"/>
      <c r="S66" s="1126"/>
    </row>
    <row r="67" spans="1:19" s="489" customFormat="1" ht="18" customHeight="1" thickBot="1">
      <c r="A67" s="1116"/>
      <c r="B67" s="104" t="s">
        <v>83</v>
      </c>
      <c r="C67" s="1120" t="s">
        <v>269</v>
      </c>
      <c r="D67" s="1121"/>
      <c r="E67" s="1121"/>
      <c r="F67" s="1121"/>
      <c r="G67" s="1121"/>
      <c r="H67" s="1121"/>
      <c r="I67" s="1121"/>
      <c r="J67" s="1121"/>
      <c r="K67" s="1121"/>
      <c r="L67" s="1121"/>
      <c r="M67" s="1121"/>
      <c r="N67" s="1121"/>
      <c r="O67" s="1121"/>
      <c r="P67" s="1121"/>
      <c r="Q67" s="1121"/>
      <c r="R67" s="1121"/>
      <c r="S67" s="1126"/>
    </row>
    <row r="68" spans="1:19" s="489" customFormat="1" ht="11.1" thickBot="1">
      <c r="A68" s="1116"/>
      <c r="B68" s="105">
        <v>0.2</v>
      </c>
      <c r="C68" s="1123"/>
      <c r="D68" s="1124"/>
      <c r="E68" s="1124"/>
      <c r="F68" s="1124"/>
      <c r="G68" s="1124"/>
      <c r="H68" s="1124"/>
      <c r="I68" s="1124"/>
      <c r="J68" s="1124"/>
      <c r="K68" s="1124"/>
      <c r="L68" s="1124"/>
      <c r="M68" s="1124"/>
      <c r="N68" s="1124"/>
      <c r="O68" s="1124"/>
      <c r="P68" s="1124"/>
      <c r="Q68" s="1124"/>
      <c r="R68" s="1124"/>
      <c r="S68" s="1126"/>
    </row>
    <row r="69" spans="1:19" ht="11.1" thickBot="1">
      <c r="A69" s="1116"/>
      <c r="B69" s="34" t="s">
        <v>91</v>
      </c>
      <c r="C69" s="77"/>
      <c r="D69" s="10" t="str">
        <f>D$2</f>
        <v>Baseline (Nov-2021)</v>
      </c>
      <c r="E69" s="11">
        <f t="shared" ref="E69:R69" si="24">E$2</f>
        <v>44742</v>
      </c>
      <c r="F69" s="11"/>
      <c r="G69" s="11"/>
      <c r="H69" s="11"/>
      <c r="I69" s="11">
        <f t="shared" si="24"/>
        <v>45107</v>
      </c>
      <c r="J69" s="11"/>
      <c r="K69" s="602">
        <v>45352</v>
      </c>
      <c r="L69" s="602"/>
      <c r="M69" s="11">
        <f t="shared" si="24"/>
        <v>45473</v>
      </c>
      <c r="N69" s="12">
        <v>45717</v>
      </c>
      <c r="O69" s="599"/>
      <c r="P69" s="603">
        <f t="shared" si="24"/>
        <v>46111</v>
      </c>
      <c r="Q69" s="11">
        <f t="shared" si="24"/>
        <v>46477</v>
      </c>
      <c r="R69" s="78" t="str">
        <f t="shared" si="24"/>
        <v>Total Cumulative Unique</v>
      </c>
      <c r="S69" s="1126"/>
    </row>
    <row r="70" spans="1:19" ht="21" customHeight="1">
      <c r="A70" s="1116"/>
      <c r="B70" s="1115" t="s">
        <v>271</v>
      </c>
      <c r="C70" s="93" t="s">
        <v>29</v>
      </c>
      <c r="D70" s="100">
        <v>0</v>
      </c>
      <c r="E70" s="100">
        <v>7</v>
      </c>
      <c r="F70" s="94"/>
      <c r="G70" s="100"/>
      <c r="H70" s="94"/>
      <c r="I70" s="100">
        <v>9</v>
      </c>
      <c r="J70" s="100"/>
      <c r="K70" s="40">
        <v>10</v>
      </c>
      <c r="L70" s="40"/>
      <c r="M70" s="100">
        <v>11</v>
      </c>
      <c r="N70" s="674">
        <v>12</v>
      </c>
      <c r="O70" s="675"/>
      <c r="P70" s="676">
        <v>12</v>
      </c>
      <c r="Q70" s="100">
        <f>P70</f>
        <v>12</v>
      </c>
      <c r="R70" s="478">
        <f>IF(Q70,0,P70)</f>
        <v>0</v>
      </c>
      <c r="S70" s="1126"/>
    </row>
    <row r="71" spans="1:19" ht="70.5" thickBot="1">
      <c r="A71" s="1116"/>
      <c r="B71" s="1116"/>
      <c r="C71" s="118" t="s">
        <v>31</v>
      </c>
      <c r="D71" s="119">
        <v>0</v>
      </c>
      <c r="E71" s="120">
        <v>7</v>
      </c>
      <c r="F71" s="121" t="s">
        <v>272</v>
      </c>
      <c r="G71" s="117">
        <v>7</v>
      </c>
      <c r="H71" s="111" t="s">
        <v>273</v>
      </c>
      <c r="I71" s="117">
        <v>9</v>
      </c>
      <c r="J71" s="26" t="s">
        <v>274</v>
      </c>
      <c r="K71" s="120"/>
      <c r="L71" s="120"/>
      <c r="M71" s="698"/>
      <c r="N71" s="699">
        <v>11</v>
      </c>
      <c r="O71" s="612" t="s">
        <v>275</v>
      </c>
      <c r="P71" s="700"/>
      <c r="Q71" s="122"/>
      <c r="R71" s="122"/>
      <c r="S71" s="1126"/>
    </row>
    <row r="72" spans="1:19" ht="11.1" thickBot="1">
      <c r="A72" s="1116"/>
      <c r="B72" s="104" t="s">
        <v>83</v>
      </c>
      <c r="C72" s="1120" t="s">
        <v>276</v>
      </c>
      <c r="D72" s="1121"/>
      <c r="E72" s="1121"/>
      <c r="F72" s="1121"/>
      <c r="G72" s="1121"/>
      <c r="H72" s="1121"/>
      <c r="I72" s="1121"/>
      <c r="J72" s="1121"/>
      <c r="K72" s="1121"/>
      <c r="L72" s="1121"/>
      <c r="M72" s="1121"/>
      <c r="N72" s="1121"/>
      <c r="O72" s="1121"/>
      <c r="P72" s="1121"/>
      <c r="Q72" s="1121"/>
      <c r="R72" s="1121"/>
      <c r="S72" s="1126"/>
    </row>
    <row r="73" spans="1:19" ht="10.5" thickBot="1">
      <c r="A73" s="1116"/>
      <c r="B73" s="105">
        <v>0.2</v>
      </c>
      <c r="C73" s="1123"/>
      <c r="D73" s="1124"/>
      <c r="E73" s="1124"/>
      <c r="F73" s="1124"/>
      <c r="G73" s="1124"/>
      <c r="H73" s="1124"/>
      <c r="I73" s="1124"/>
      <c r="J73" s="1124"/>
      <c r="K73" s="1124"/>
      <c r="L73" s="1124"/>
      <c r="M73" s="1124"/>
      <c r="N73" s="1124"/>
      <c r="O73" s="1124"/>
      <c r="P73" s="1124"/>
      <c r="Q73" s="1124"/>
      <c r="R73" s="1124"/>
      <c r="S73" s="1126"/>
    </row>
    <row r="74" spans="1:19" ht="11.1" thickBot="1">
      <c r="A74" s="1116"/>
      <c r="B74" s="34" t="s">
        <v>93</v>
      </c>
      <c r="C74" s="77"/>
      <c r="D74" s="10" t="str">
        <f>D$2</f>
        <v>Baseline (Nov-2021)</v>
      </c>
      <c r="E74" s="11">
        <f t="shared" ref="E74:R74" si="25">E$2</f>
        <v>44742</v>
      </c>
      <c r="F74" s="11"/>
      <c r="G74" s="11"/>
      <c r="H74" s="11"/>
      <c r="I74" s="11">
        <f t="shared" si="25"/>
        <v>45107</v>
      </c>
      <c r="J74" s="11"/>
      <c r="K74" s="602">
        <v>45352</v>
      </c>
      <c r="L74" s="602"/>
      <c r="M74" s="11">
        <f t="shared" si="25"/>
        <v>45473</v>
      </c>
      <c r="N74" s="12">
        <v>45717</v>
      </c>
      <c r="O74" s="599"/>
      <c r="P74" s="603">
        <f t="shared" si="25"/>
        <v>46111</v>
      </c>
      <c r="Q74" s="11">
        <f t="shared" si="25"/>
        <v>46477</v>
      </c>
      <c r="R74" s="78" t="str">
        <f t="shared" si="25"/>
        <v>Total Cumulative Unique</v>
      </c>
      <c r="S74" s="1126"/>
    </row>
    <row r="75" spans="1:19" ht="21" customHeight="1">
      <c r="A75" s="1116"/>
      <c r="B75" s="1115" t="s">
        <v>277</v>
      </c>
      <c r="C75" s="93" t="s">
        <v>29</v>
      </c>
      <c r="D75" s="100">
        <v>0</v>
      </c>
      <c r="E75" s="100">
        <v>0</v>
      </c>
      <c r="F75" s="94"/>
      <c r="G75" s="100"/>
      <c r="H75" s="94"/>
      <c r="I75" s="100">
        <v>1</v>
      </c>
      <c r="J75" s="100"/>
      <c r="K75" s="40">
        <v>1</v>
      </c>
      <c r="L75" s="40"/>
      <c r="M75" s="100">
        <v>1</v>
      </c>
      <c r="N75" s="674">
        <v>2</v>
      </c>
      <c r="O75" s="675"/>
      <c r="P75" s="676">
        <v>4</v>
      </c>
      <c r="Q75" s="100">
        <f>P75</f>
        <v>4</v>
      </c>
      <c r="R75" s="478">
        <f>IF(Q75,0,P75)</f>
        <v>0</v>
      </c>
      <c r="S75" s="1126"/>
    </row>
    <row r="76" spans="1:19" ht="15" customHeight="1" thickBot="1">
      <c r="A76" s="1116"/>
      <c r="B76" s="1116"/>
      <c r="C76" s="118" t="s">
        <v>31</v>
      </c>
      <c r="D76" s="123" t="str">
        <f>IF(ISERROR((#REF!+#REF!)/(#REF!+#REF!)),"-",TEXT(#REF!+#REF!,"£0,0") &amp; " (" &amp; TEXT((#REF!+#REF!)/(#REF!+#REF!),"0%") &amp; ")")</f>
        <v>-</v>
      </c>
      <c r="E76" s="120">
        <v>0</v>
      </c>
      <c r="F76" s="124" t="s">
        <v>182</v>
      </c>
      <c r="G76" s="117">
        <v>0</v>
      </c>
      <c r="H76" s="26" t="s">
        <v>278</v>
      </c>
      <c r="I76" s="120">
        <v>1</v>
      </c>
      <c r="J76" s="26" t="s">
        <v>279</v>
      </c>
      <c r="K76" s="120"/>
      <c r="L76" s="120"/>
      <c r="M76" s="122"/>
      <c r="N76" s="699">
        <v>2</v>
      </c>
      <c r="O76" s="612" t="s">
        <v>185</v>
      </c>
      <c r="P76" s="700"/>
      <c r="Q76" s="122"/>
      <c r="R76" s="122"/>
      <c r="S76" s="1126"/>
    </row>
    <row r="77" spans="1:19" ht="11.1" thickBot="1">
      <c r="A77" s="1116"/>
      <c r="B77" s="104" t="s">
        <v>83</v>
      </c>
      <c r="C77" s="1120" t="s">
        <v>280</v>
      </c>
      <c r="D77" s="1121"/>
      <c r="E77" s="1121"/>
      <c r="F77" s="1121"/>
      <c r="G77" s="1121"/>
      <c r="H77" s="1121"/>
      <c r="I77" s="1121"/>
      <c r="J77" s="1121"/>
      <c r="K77" s="1121"/>
      <c r="L77" s="1121"/>
      <c r="M77" s="1121"/>
      <c r="N77" s="1121"/>
      <c r="O77" s="1121"/>
      <c r="P77" s="1121"/>
      <c r="Q77" s="1121"/>
      <c r="R77" s="1121"/>
      <c r="S77" s="1126"/>
    </row>
    <row r="78" spans="1:19" ht="10.5" thickBot="1">
      <c r="A78" s="1116"/>
      <c r="B78" s="105">
        <v>0.2</v>
      </c>
      <c r="C78" s="1123" t="s">
        <v>281</v>
      </c>
      <c r="D78" s="1124"/>
      <c r="E78" s="1124"/>
      <c r="F78" s="1124"/>
      <c r="G78" s="1124"/>
      <c r="H78" s="1124"/>
      <c r="I78" s="1124"/>
      <c r="J78" s="1124"/>
      <c r="K78" s="1124"/>
      <c r="L78" s="1124"/>
      <c r="M78" s="1124"/>
      <c r="N78" s="1124"/>
      <c r="O78" s="1124"/>
      <c r="P78" s="1124"/>
      <c r="Q78" s="1124"/>
      <c r="R78" s="1124"/>
      <c r="S78" s="1126"/>
    </row>
    <row r="79" spans="1:19" ht="10.5" thickBot="1">
      <c r="A79" s="1116"/>
      <c r="B79" s="481"/>
      <c r="C79" s="482"/>
      <c r="D79" s="450"/>
      <c r="E79" s="482"/>
      <c r="F79" s="482"/>
      <c r="G79" s="482"/>
      <c r="H79" s="482"/>
      <c r="I79" s="482"/>
      <c r="J79" s="482"/>
      <c r="K79" s="482"/>
      <c r="L79" s="482"/>
      <c r="M79" s="482"/>
      <c r="N79" s="482"/>
      <c r="O79" s="701"/>
      <c r="P79" s="482"/>
      <c r="Q79" s="482"/>
      <c r="R79" s="482"/>
      <c r="S79" s="1126"/>
    </row>
    <row r="80" spans="1:19" ht="11.1" thickBot="1">
      <c r="A80" s="1116"/>
      <c r="B80" s="34" t="s">
        <v>95</v>
      </c>
      <c r="C80" s="77"/>
      <c r="D80" s="10" t="str">
        <f>D$2</f>
        <v>Baseline (Nov-2021)</v>
      </c>
      <c r="E80" s="11">
        <f t="shared" ref="E80:R80" si="26">E$2</f>
        <v>44742</v>
      </c>
      <c r="F80" s="11"/>
      <c r="G80" s="11"/>
      <c r="H80" s="11"/>
      <c r="I80" s="11">
        <f t="shared" si="26"/>
        <v>45107</v>
      </c>
      <c r="J80" s="11"/>
      <c r="K80" s="602">
        <v>45352</v>
      </c>
      <c r="L80" s="602"/>
      <c r="M80" s="11">
        <f t="shared" si="26"/>
        <v>45473</v>
      </c>
      <c r="N80" s="12">
        <v>45717</v>
      </c>
      <c r="O80" s="599"/>
      <c r="P80" s="603">
        <f t="shared" si="26"/>
        <v>46111</v>
      </c>
      <c r="Q80" s="11">
        <f t="shared" si="26"/>
        <v>46477</v>
      </c>
      <c r="R80" s="78" t="str">
        <f t="shared" si="26"/>
        <v>Total Cumulative Unique</v>
      </c>
      <c r="S80" s="1126"/>
    </row>
    <row r="81" spans="1:19" ht="13.5" thickBot="1">
      <c r="A81" s="1116"/>
      <c r="B81" s="1115" t="s">
        <v>282</v>
      </c>
      <c r="C81" s="93" t="s">
        <v>29</v>
      </c>
      <c r="D81" s="108">
        <v>0</v>
      </c>
      <c r="E81" s="125">
        <f>((95/2)*0.5)*1</f>
        <v>23.75</v>
      </c>
      <c r="F81" s="126"/>
      <c r="G81" s="125"/>
      <c r="H81" s="126"/>
      <c r="I81" s="125">
        <f>((145/2)*0.5)+E81</f>
        <v>60</v>
      </c>
      <c r="J81" s="125"/>
      <c r="K81" s="475">
        <v>101</v>
      </c>
      <c r="L81" s="475"/>
      <c r="M81" s="475">
        <f>((200/2)*0.5)+I81</f>
        <v>110</v>
      </c>
      <c r="N81" s="702">
        <v>240</v>
      </c>
      <c r="O81" s="703"/>
      <c r="P81" s="686">
        <v>312</v>
      </c>
      <c r="Q81" s="477">
        <f>P81</f>
        <v>312</v>
      </c>
      <c r="R81" s="478">
        <f>IF(Q81,0,P81)</f>
        <v>0</v>
      </c>
      <c r="S81" s="1126"/>
    </row>
    <row r="82" spans="1:19" ht="30.6" thickBot="1">
      <c r="A82" s="1116"/>
      <c r="B82" s="1116"/>
      <c r="C82" s="109" t="s">
        <v>88</v>
      </c>
      <c r="D82" s="110">
        <v>0</v>
      </c>
      <c r="E82" s="127">
        <f>E81*0.3</f>
        <v>7.125</v>
      </c>
      <c r="F82" s="128"/>
      <c r="G82" s="127"/>
      <c r="H82" s="128"/>
      <c r="I82" s="127">
        <f t="shared" ref="I82" si="27">I81*0.3</f>
        <v>18</v>
      </c>
      <c r="J82" s="127"/>
      <c r="K82" s="479">
        <f>K81*0.5</f>
        <v>50.5</v>
      </c>
      <c r="L82" s="479"/>
      <c r="M82" s="479">
        <f>M81*0.5</f>
        <v>55</v>
      </c>
      <c r="N82" s="704">
        <f>N81*0.5</f>
        <v>120</v>
      </c>
      <c r="O82" s="705"/>
      <c r="P82" s="686">
        <v>156</v>
      </c>
      <c r="Q82" s="477">
        <f>P82</f>
        <v>156</v>
      </c>
      <c r="R82" s="478">
        <f>IF(Q82,0,P82)</f>
        <v>0</v>
      </c>
      <c r="S82" s="1126"/>
    </row>
    <row r="83" spans="1:19" ht="12.95">
      <c r="A83" s="1116"/>
      <c r="B83" s="1116"/>
      <c r="C83" s="101" t="s">
        <v>31</v>
      </c>
      <c r="D83" s="113">
        <v>0</v>
      </c>
      <c r="E83" s="114">
        <v>26</v>
      </c>
      <c r="F83" s="115" t="s">
        <v>182</v>
      </c>
      <c r="G83" s="114">
        <v>37</v>
      </c>
      <c r="H83" s="26" t="s">
        <v>283</v>
      </c>
      <c r="I83" s="114">
        <v>75</v>
      </c>
      <c r="J83" s="129" t="s">
        <v>284</v>
      </c>
      <c r="K83" s="476">
        <v>111</v>
      </c>
      <c r="L83" s="627" t="s">
        <v>285</v>
      </c>
      <c r="M83" s="706"/>
      <c r="N83" s="707">
        <v>264</v>
      </c>
      <c r="O83" s="612" t="s">
        <v>285</v>
      </c>
      <c r="P83" s="686" t="str">
        <f>IF(ISERROR((#REF!+#REF!)/(P84+#REF!)),"-",TEXT(P84+#REF!,"£0,0") &amp; " (" &amp; TEXT((#REF!+#REF!)/(P84+#REF!),"0%") &amp; ")")</f>
        <v>-</v>
      </c>
      <c r="Q83" s="477"/>
      <c r="R83" s="477" t="str">
        <f>IF(ISERROR((#REF!+#REF!)/(R84+#REF!)),"-",TEXT(R84+#REF!,"£0,0") &amp; " (" &amp; TEXT((#REF!+#REF!)/(R84+#REF!),"0%") &amp; ")")</f>
        <v>-</v>
      </c>
      <c r="S83" s="1126"/>
    </row>
    <row r="84" spans="1:19" ht="111.95" customHeight="1" thickBot="1">
      <c r="A84" s="1117"/>
      <c r="B84" s="1117"/>
      <c r="C84" s="109" t="s">
        <v>88</v>
      </c>
      <c r="D84" s="88">
        <v>0</v>
      </c>
      <c r="E84" s="117">
        <v>23</v>
      </c>
      <c r="F84" s="62" t="s">
        <v>223</v>
      </c>
      <c r="G84" s="117">
        <v>31</v>
      </c>
      <c r="H84" s="26" t="s">
        <v>213</v>
      </c>
      <c r="I84" s="111">
        <v>49</v>
      </c>
      <c r="J84" s="26" t="s">
        <v>286</v>
      </c>
      <c r="K84" s="476">
        <v>72</v>
      </c>
      <c r="L84" s="627" t="s">
        <v>287</v>
      </c>
      <c r="M84" s="687"/>
      <c r="N84" s="708">
        <v>157</v>
      </c>
      <c r="O84" s="612" t="s">
        <v>288</v>
      </c>
      <c r="P84" s="688"/>
      <c r="Q84" s="480"/>
      <c r="R84" s="480"/>
      <c r="S84" s="1126"/>
    </row>
    <row r="85" spans="1:19" ht="11.1" thickBot="1">
      <c r="A85" s="104" t="s">
        <v>97</v>
      </c>
      <c r="B85" s="104" t="s">
        <v>83</v>
      </c>
      <c r="C85" s="1120" t="s">
        <v>289</v>
      </c>
      <c r="D85" s="1121"/>
      <c r="E85" s="1121"/>
      <c r="F85" s="1121"/>
      <c r="G85" s="1121"/>
      <c r="H85" s="1121"/>
      <c r="I85" s="1121"/>
      <c r="J85" s="1121"/>
      <c r="K85" s="1121"/>
      <c r="L85" s="1121"/>
      <c r="M85" s="1121"/>
      <c r="N85" s="1121"/>
      <c r="O85" s="1121"/>
      <c r="P85" s="1121"/>
      <c r="Q85" s="1121"/>
      <c r="R85" s="1121"/>
      <c r="S85" s="1126"/>
    </row>
    <row r="86" spans="1:19" ht="10.5" thickBot="1">
      <c r="A86" s="105">
        <v>0.6</v>
      </c>
      <c r="B86" s="105">
        <v>0.2</v>
      </c>
      <c r="C86" s="1123"/>
      <c r="D86" s="1124"/>
      <c r="E86" s="1124"/>
      <c r="F86" s="1124"/>
      <c r="G86" s="1124"/>
      <c r="H86" s="1124"/>
      <c r="I86" s="1124"/>
      <c r="J86" s="1124"/>
      <c r="K86" s="1124"/>
      <c r="L86" s="1124"/>
      <c r="M86" s="1124"/>
      <c r="N86" s="1124"/>
      <c r="O86" s="1124"/>
      <c r="P86" s="1124"/>
      <c r="Q86" s="1124"/>
      <c r="R86" s="1124"/>
      <c r="S86" s="1126"/>
    </row>
    <row r="87" spans="1:19" ht="11.1" thickBot="1">
      <c r="A87" s="130" t="s">
        <v>98</v>
      </c>
      <c r="B87" s="131">
        <v>7500000</v>
      </c>
      <c r="C87" s="132" t="s">
        <v>99</v>
      </c>
      <c r="D87" s="1138" t="s">
        <v>290</v>
      </c>
      <c r="E87" s="1139"/>
      <c r="F87" s="1139"/>
      <c r="G87" s="1139"/>
      <c r="H87" s="1139"/>
      <c r="I87" s="1139"/>
      <c r="J87" s="1139"/>
      <c r="K87" s="1139"/>
      <c r="L87" s="1139"/>
      <c r="M87" s="1139"/>
      <c r="N87" s="1139"/>
      <c r="O87" s="1140"/>
      <c r="P87" s="1139"/>
      <c r="Q87" s="1139"/>
      <c r="R87" s="1139"/>
      <c r="S87" s="1141"/>
    </row>
    <row r="88" spans="1:19" ht="10.5">
      <c r="A88" s="45"/>
      <c r="B88" s="45"/>
      <c r="C88" s="46"/>
      <c r="D88" s="47"/>
      <c r="E88" s="47"/>
      <c r="F88" s="47"/>
      <c r="G88" s="47"/>
      <c r="H88" s="47"/>
      <c r="I88" s="47"/>
      <c r="N88" s="133"/>
      <c r="O88" s="133"/>
      <c r="P88" s="47"/>
      <c r="Q88" s="47"/>
      <c r="R88" s="47"/>
      <c r="S88" s="47"/>
    </row>
    <row r="89" spans="1:19">
      <c r="N89" s="98"/>
      <c r="O89" s="98"/>
    </row>
    <row r="90" spans="1:19">
      <c r="N90" s="98"/>
      <c r="O90" s="98"/>
    </row>
    <row r="91" spans="1:19">
      <c r="N91" s="98"/>
      <c r="O91" s="98"/>
    </row>
    <row r="92" spans="1:19">
      <c r="N92" s="98"/>
      <c r="O92" s="98"/>
    </row>
    <row r="93" spans="1:19">
      <c r="N93" s="98"/>
      <c r="O93" s="98"/>
    </row>
    <row r="94" spans="1:19">
      <c r="N94" s="98"/>
      <c r="O94" s="98"/>
    </row>
    <row r="95" spans="1:19">
      <c r="N95" s="98"/>
      <c r="O95" s="98"/>
    </row>
    <row r="96" spans="1:19">
      <c r="N96" s="98"/>
      <c r="O96" s="98"/>
    </row>
    <row r="97" spans="14:15">
      <c r="N97" s="98"/>
      <c r="O97" s="98"/>
    </row>
    <row r="98" spans="14:15">
      <c r="N98" s="98"/>
      <c r="O98" s="98"/>
    </row>
    <row r="99" spans="14:15">
      <c r="N99" s="98"/>
      <c r="O99" s="98"/>
    </row>
    <row r="100" spans="14:15">
      <c r="N100" s="98"/>
      <c r="O100" s="98"/>
    </row>
    <row r="101" spans="14:15">
      <c r="N101" s="98"/>
      <c r="O101" s="98"/>
    </row>
    <row r="102" spans="14:15">
      <c r="N102" s="98"/>
      <c r="O102" s="98"/>
    </row>
    <row r="103" spans="14:15">
      <c r="N103" s="98"/>
      <c r="O103" s="98"/>
    </row>
    <row r="104" spans="14:15">
      <c r="N104" s="98"/>
      <c r="O104" s="98"/>
    </row>
    <row r="105" spans="14:15">
      <c r="N105" s="98"/>
      <c r="O105" s="98"/>
    </row>
    <row r="106" spans="14:15">
      <c r="N106" s="98"/>
      <c r="O106" s="98"/>
    </row>
    <row r="107" spans="14:15">
      <c r="N107" s="98"/>
      <c r="O107" s="98"/>
    </row>
    <row r="108" spans="14:15">
      <c r="N108" s="98"/>
      <c r="O108" s="98"/>
    </row>
    <row r="109" spans="14:15">
      <c r="N109" s="98"/>
      <c r="O109" s="98"/>
    </row>
    <row r="110" spans="14:15">
      <c r="N110" s="98"/>
      <c r="O110" s="98"/>
    </row>
    <row r="111" spans="14:15">
      <c r="N111" s="98"/>
      <c r="O111" s="98"/>
    </row>
    <row r="112" spans="14:15">
      <c r="N112" s="98"/>
      <c r="O112" s="98"/>
    </row>
    <row r="113" spans="14:15">
      <c r="N113" s="98"/>
      <c r="O113" s="98"/>
    </row>
    <row r="114" spans="14:15">
      <c r="N114" s="98"/>
      <c r="O114" s="98"/>
    </row>
    <row r="115" spans="14:15">
      <c r="N115" s="98"/>
      <c r="O115" s="98"/>
    </row>
    <row r="116" spans="14:15">
      <c r="N116" s="98"/>
      <c r="O116" s="98"/>
    </row>
    <row r="117" spans="14:15">
      <c r="N117" s="98"/>
      <c r="O117" s="98"/>
    </row>
    <row r="118" spans="14:15">
      <c r="N118" s="98"/>
      <c r="O118" s="98"/>
    </row>
    <row r="119" spans="14:15">
      <c r="N119" s="98"/>
      <c r="O119" s="98"/>
    </row>
    <row r="120" spans="14:15">
      <c r="N120" s="98"/>
      <c r="O120" s="98"/>
    </row>
    <row r="121" spans="14:15">
      <c r="N121" s="98"/>
      <c r="O121" s="98"/>
    </row>
    <row r="122" spans="14:15">
      <c r="N122" s="98"/>
      <c r="O122" s="98"/>
    </row>
    <row r="123" spans="14:15">
      <c r="N123" s="98"/>
      <c r="O123" s="98"/>
    </row>
    <row r="124" spans="14:15">
      <c r="N124" s="98"/>
      <c r="O124" s="98"/>
    </row>
    <row r="125" spans="14:15">
      <c r="N125" s="98"/>
      <c r="O125" s="98"/>
    </row>
    <row r="126" spans="14:15">
      <c r="N126" s="98"/>
      <c r="O126" s="98"/>
    </row>
    <row r="127" spans="14:15">
      <c r="N127" s="98"/>
      <c r="O127" s="98"/>
    </row>
    <row r="128" spans="14:15">
      <c r="N128" s="98"/>
      <c r="O128" s="98"/>
    </row>
    <row r="129" spans="14:15">
      <c r="N129" s="98"/>
      <c r="O129" s="98"/>
    </row>
    <row r="130" spans="14:15">
      <c r="N130" s="98"/>
      <c r="O130" s="98"/>
    </row>
    <row r="131" spans="14:15">
      <c r="N131" s="98"/>
      <c r="O131" s="98"/>
    </row>
    <row r="132" spans="14:15">
      <c r="N132" s="98"/>
      <c r="O132" s="98"/>
    </row>
    <row r="133" spans="14:15">
      <c r="N133" s="98"/>
      <c r="O133" s="98"/>
    </row>
    <row r="134" spans="14:15">
      <c r="N134" s="98"/>
      <c r="O134" s="98"/>
    </row>
    <row r="135" spans="14:15">
      <c r="N135" s="98"/>
      <c r="O135" s="98"/>
    </row>
    <row r="136" spans="14:15">
      <c r="N136" s="98"/>
      <c r="O136" s="98"/>
    </row>
    <row r="137" spans="14:15">
      <c r="N137" s="98"/>
      <c r="O137" s="98"/>
    </row>
    <row r="138" spans="14:15">
      <c r="N138" s="98"/>
      <c r="O138" s="98"/>
    </row>
    <row r="139" spans="14:15">
      <c r="N139" s="98"/>
      <c r="O139" s="98"/>
    </row>
    <row r="140" spans="14:15">
      <c r="N140" s="98"/>
      <c r="O140" s="98"/>
    </row>
    <row r="141" spans="14:15">
      <c r="N141" s="98"/>
      <c r="O141" s="98"/>
    </row>
    <row r="142" spans="14:15">
      <c r="N142" s="98"/>
      <c r="O142" s="98"/>
    </row>
    <row r="143" spans="14:15">
      <c r="N143" s="98"/>
      <c r="O143" s="98"/>
    </row>
    <row r="144" spans="14:15">
      <c r="N144" s="98"/>
      <c r="O144" s="98"/>
    </row>
    <row r="145" spans="14:15">
      <c r="N145" s="98"/>
      <c r="O145" s="98"/>
    </row>
    <row r="146" spans="14:15">
      <c r="N146" s="98"/>
      <c r="O146" s="98"/>
    </row>
    <row r="147" spans="14:15">
      <c r="N147" s="98"/>
      <c r="O147" s="98"/>
    </row>
    <row r="148" spans="14:15">
      <c r="N148" s="98"/>
      <c r="O148" s="98"/>
    </row>
    <row r="149" spans="14:15">
      <c r="N149" s="98"/>
      <c r="O149" s="98"/>
    </row>
    <row r="150" spans="14:15">
      <c r="N150" s="98"/>
      <c r="O150" s="98"/>
    </row>
    <row r="151" spans="14:15">
      <c r="N151" s="98"/>
      <c r="O151" s="98"/>
    </row>
    <row r="152" spans="14:15">
      <c r="N152" s="98"/>
      <c r="O152" s="98"/>
    </row>
    <row r="153" spans="14:15">
      <c r="N153" s="98"/>
      <c r="O153" s="98"/>
    </row>
    <row r="154" spans="14:15">
      <c r="N154" s="98"/>
      <c r="O154" s="98"/>
    </row>
    <row r="155" spans="14:15">
      <c r="N155" s="98"/>
      <c r="O155" s="98"/>
    </row>
    <row r="156" spans="14:15">
      <c r="N156" s="98"/>
      <c r="O156" s="98"/>
    </row>
    <row r="157" spans="14:15">
      <c r="N157" s="98"/>
      <c r="O157" s="98"/>
    </row>
    <row r="158" spans="14:15">
      <c r="N158" s="98"/>
      <c r="O158" s="98"/>
    </row>
    <row r="159" spans="14:15">
      <c r="N159" s="98"/>
      <c r="O159" s="98"/>
    </row>
    <row r="160" spans="14:15">
      <c r="N160" s="98"/>
      <c r="O160" s="98"/>
    </row>
    <row r="161" spans="14:15">
      <c r="N161" s="98"/>
      <c r="O161" s="98"/>
    </row>
    <row r="162" spans="14:15">
      <c r="N162" s="98"/>
      <c r="O162" s="98"/>
    </row>
    <row r="163" spans="14:15">
      <c r="N163" s="98"/>
      <c r="O163" s="98"/>
    </row>
    <row r="164" spans="14:15">
      <c r="N164" s="98"/>
      <c r="O164" s="98"/>
    </row>
    <row r="165" spans="14:15">
      <c r="N165" s="98"/>
      <c r="O165" s="98"/>
    </row>
    <row r="166" spans="14:15">
      <c r="N166" s="98"/>
      <c r="O166" s="98"/>
    </row>
    <row r="167" spans="14:15">
      <c r="N167" s="98"/>
      <c r="O167" s="98"/>
    </row>
    <row r="168" spans="14:15">
      <c r="N168" s="98"/>
      <c r="O168" s="98"/>
    </row>
    <row r="169" spans="14:15">
      <c r="N169" s="98"/>
      <c r="O169" s="98"/>
    </row>
    <row r="170" spans="14:15">
      <c r="N170" s="98"/>
      <c r="O170" s="98"/>
    </row>
    <row r="171" spans="14:15">
      <c r="N171" s="98"/>
      <c r="O171" s="98"/>
    </row>
    <row r="172" spans="14:15">
      <c r="N172" s="98"/>
      <c r="O172" s="98"/>
    </row>
    <row r="173" spans="14:15">
      <c r="N173" s="98"/>
      <c r="O173" s="98"/>
    </row>
    <row r="174" spans="14:15">
      <c r="N174" s="98"/>
      <c r="O174" s="98"/>
    </row>
    <row r="175" spans="14:15">
      <c r="N175" s="98"/>
      <c r="O175" s="98"/>
    </row>
    <row r="176" spans="14:15">
      <c r="N176" s="98"/>
      <c r="O176" s="98"/>
    </row>
    <row r="177" spans="14:15">
      <c r="N177" s="98"/>
      <c r="O177" s="98"/>
    </row>
    <row r="178" spans="14:15">
      <c r="N178" s="98"/>
      <c r="O178" s="98"/>
    </row>
    <row r="179" spans="14:15">
      <c r="N179" s="98"/>
      <c r="O179" s="98"/>
    </row>
    <row r="180" spans="14:15">
      <c r="N180" s="98"/>
      <c r="O180" s="98"/>
    </row>
    <row r="181" spans="14:15">
      <c r="N181" s="98"/>
      <c r="O181" s="98"/>
    </row>
    <row r="182" spans="14:15">
      <c r="N182" s="98"/>
      <c r="O182" s="98"/>
    </row>
    <row r="183" spans="14:15">
      <c r="N183" s="98"/>
      <c r="O183" s="98"/>
    </row>
    <row r="184" spans="14:15">
      <c r="N184" s="98"/>
      <c r="O184" s="98"/>
    </row>
    <row r="185" spans="14:15">
      <c r="N185" s="98"/>
      <c r="O185" s="98"/>
    </row>
    <row r="186" spans="14:15">
      <c r="N186" s="98"/>
      <c r="O186" s="98"/>
    </row>
    <row r="187" spans="14:15">
      <c r="N187" s="98"/>
      <c r="O187" s="98"/>
    </row>
    <row r="188" spans="14:15">
      <c r="N188" s="98"/>
      <c r="O188" s="98"/>
    </row>
    <row r="189" spans="14:15">
      <c r="N189" s="98"/>
      <c r="O189" s="98"/>
    </row>
    <row r="190" spans="14:15">
      <c r="N190" s="98"/>
      <c r="O190" s="98"/>
    </row>
    <row r="191" spans="14:15">
      <c r="N191" s="98"/>
      <c r="O191" s="98"/>
    </row>
    <row r="192" spans="14:15">
      <c r="N192" s="98"/>
      <c r="O192" s="98"/>
    </row>
    <row r="193" spans="14:15">
      <c r="N193" s="98"/>
      <c r="O193" s="98"/>
    </row>
    <row r="194" spans="14:15">
      <c r="N194" s="98"/>
      <c r="O194" s="98"/>
    </row>
    <row r="195" spans="14:15">
      <c r="N195" s="98"/>
      <c r="O195" s="98"/>
    </row>
    <row r="196" spans="14:15">
      <c r="N196" s="98"/>
      <c r="O196" s="98"/>
    </row>
    <row r="197" spans="14:15">
      <c r="N197" s="98"/>
      <c r="O197" s="98"/>
    </row>
    <row r="198" spans="14:15">
      <c r="N198" s="98"/>
      <c r="O198" s="98"/>
    </row>
    <row r="199" spans="14:15">
      <c r="N199" s="98"/>
      <c r="O199" s="98"/>
    </row>
    <row r="200" spans="14:15">
      <c r="N200" s="98"/>
      <c r="O200" s="98"/>
    </row>
    <row r="201" spans="14:15">
      <c r="N201" s="98"/>
      <c r="O201" s="98"/>
    </row>
    <row r="202" spans="14:15">
      <c r="N202" s="98"/>
      <c r="O202" s="98"/>
    </row>
    <row r="203" spans="14:15">
      <c r="N203" s="98"/>
      <c r="O203" s="98"/>
    </row>
    <row r="204" spans="14:15">
      <c r="N204" s="98"/>
      <c r="O204" s="98"/>
    </row>
    <row r="205" spans="14:15">
      <c r="N205" s="98"/>
      <c r="O205" s="98"/>
    </row>
    <row r="206" spans="14:15">
      <c r="N206" s="98"/>
      <c r="O206" s="98"/>
    </row>
    <row r="207" spans="14:15">
      <c r="N207" s="98"/>
      <c r="O207" s="98"/>
    </row>
    <row r="208" spans="14:15">
      <c r="N208" s="98"/>
      <c r="O208" s="98"/>
    </row>
    <row r="209" spans="14:15">
      <c r="N209" s="98"/>
      <c r="O209" s="98"/>
    </row>
    <row r="210" spans="14:15">
      <c r="N210" s="98"/>
      <c r="O210" s="98"/>
    </row>
    <row r="211" spans="14:15">
      <c r="N211" s="98"/>
      <c r="O211" s="98"/>
    </row>
    <row r="212" spans="14:15">
      <c r="N212" s="98"/>
      <c r="O212" s="98"/>
    </row>
    <row r="213" spans="14:15">
      <c r="N213" s="98"/>
      <c r="O213" s="98"/>
    </row>
    <row r="214" spans="14:15">
      <c r="N214" s="98"/>
      <c r="O214" s="98"/>
    </row>
    <row r="215" spans="14:15">
      <c r="N215" s="98"/>
      <c r="O215" s="98"/>
    </row>
    <row r="216" spans="14:15">
      <c r="N216" s="98"/>
      <c r="O216" s="98"/>
    </row>
    <row r="217" spans="14:15">
      <c r="N217" s="98"/>
      <c r="O217" s="98"/>
    </row>
    <row r="218" spans="14:15">
      <c r="N218" s="98"/>
      <c r="O218" s="98"/>
    </row>
    <row r="219" spans="14:15">
      <c r="N219" s="98"/>
      <c r="O219" s="98"/>
    </row>
    <row r="220" spans="14:15">
      <c r="N220" s="98"/>
      <c r="O220" s="98"/>
    </row>
    <row r="221" spans="14:15">
      <c r="N221" s="98"/>
      <c r="O221" s="98"/>
    </row>
    <row r="222" spans="14:15">
      <c r="N222" s="98"/>
      <c r="O222" s="98"/>
    </row>
    <row r="223" spans="14:15">
      <c r="N223" s="98"/>
      <c r="O223" s="98"/>
    </row>
    <row r="224" spans="14:15">
      <c r="N224" s="98"/>
      <c r="O224" s="98"/>
    </row>
    <row r="225" spans="14:15">
      <c r="N225" s="98"/>
      <c r="O225" s="98"/>
    </row>
    <row r="226" spans="14:15">
      <c r="N226" s="98"/>
      <c r="O226" s="98"/>
    </row>
    <row r="227" spans="14:15">
      <c r="N227" s="98"/>
      <c r="O227" s="98"/>
    </row>
    <row r="228" spans="14:15">
      <c r="N228" s="98"/>
      <c r="O228" s="98"/>
    </row>
    <row r="229" spans="14:15">
      <c r="N229" s="98"/>
      <c r="O229" s="98"/>
    </row>
    <row r="230" spans="14:15">
      <c r="N230" s="98"/>
      <c r="O230" s="98"/>
    </row>
    <row r="231" spans="14:15">
      <c r="N231" s="98"/>
      <c r="O231" s="98"/>
    </row>
    <row r="232" spans="14:15">
      <c r="N232" s="98"/>
      <c r="O232" s="98"/>
    </row>
    <row r="233" spans="14:15">
      <c r="N233" s="98"/>
      <c r="O233" s="98"/>
    </row>
    <row r="234" spans="14:15">
      <c r="N234" s="98"/>
      <c r="O234" s="98"/>
    </row>
    <row r="235" spans="14:15">
      <c r="N235" s="98"/>
      <c r="O235" s="98"/>
    </row>
    <row r="236" spans="14:15">
      <c r="N236" s="98"/>
      <c r="O236" s="98"/>
    </row>
    <row r="237" spans="14:15">
      <c r="N237" s="98"/>
      <c r="O237" s="98"/>
    </row>
    <row r="238" spans="14:15">
      <c r="N238" s="98"/>
      <c r="O238" s="98"/>
    </row>
    <row r="239" spans="14:15">
      <c r="N239" s="98"/>
      <c r="O239" s="98"/>
    </row>
    <row r="240" spans="14:15">
      <c r="N240" s="98"/>
      <c r="O240" s="709"/>
    </row>
    <row r="241" spans="14:15">
      <c r="N241" s="98"/>
      <c r="O241" s="673"/>
    </row>
    <row r="242" spans="14:15">
      <c r="N242" s="98"/>
      <c r="O242" s="673"/>
    </row>
    <row r="243" spans="14:15">
      <c r="N243" s="98"/>
      <c r="O243" s="673"/>
    </row>
    <row r="244" spans="14:15">
      <c r="N244" s="98"/>
      <c r="O244" s="673"/>
    </row>
    <row r="245" spans="14:15">
      <c r="N245" s="98"/>
      <c r="O245" s="673"/>
    </row>
    <row r="246" spans="14:15">
      <c r="N246" s="98"/>
      <c r="O246" s="673"/>
    </row>
    <row r="247" spans="14:15">
      <c r="N247" s="98"/>
      <c r="O247" s="673"/>
    </row>
    <row r="248" spans="14:15">
      <c r="N248" s="98"/>
      <c r="O248" s="673"/>
    </row>
    <row r="249" spans="14:15">
      <c r="N249" s="98"/>
      <c r="O249" s="673"/>
    </row>
    <row r="250" spans="14:15">
      <c r="N250" s="98"/>
      <c r="O250" s="673"/>
    </row>
    <row r="251" spans="14:15">
      <c r="N251" s="98"/>
      <c r="O251" s="673"/>
    </row>
    <row r="252" spans="14:15">
      <c r="N252" s="98"/>
      <c r="O252" s="673"/>
    </row>
    <row r="253" spans="14:15">
      <c r="N253" s="98"/>
      <c r="O253" s="673"/>
    </row>
    <row r="254" spans="14:15">
      <c r="N254" s="98"/>
      <c r="O254" s="673"/>
    </row>
    <row r="255" spans="14:15">
      <c r="N255" s="98"/>
      <c r="O255" s="673"/>
    </row>
    <row r="256" spans="14:15">
      <c r="N256" s="98"/>
      <c r="O256" s="673"/>
    </row>
    <row r="257" spans="14:15">
      <c r="N257" s="98"/>
      <c r="O257" s="673"/>
    </row>
    <row r="258" spans="14:15">
      <c r="N258" s="98"/>
      <c r="O258" s="673"/>
    </row>
    <row r="259" spans="14:15">
      <c r="N259" s="98"/>
      <c r="O259" s="673"/>
    </row>
    <row r="260" spans="14:15">
      <c r="N260" s="98"/>
      <c r="O260" s="673"/>
    </row>
    <row r="261" spans="14:15">
      <c r="N261" s="98"/>
      <c r="O261" s="673"/>
    </row>
    <row r="262" spans="14:15">
      <c r="N262" s="98"/>
      <c r="O262" s="673"/>
    </row>
    <row r="263" spans="14:15">
      <c r="N263" s="98"/>
      <c r="O263" s="673"/>
    </row>
    <row r="264" spans="14:15">
      <c r="N264" s="98"/>
      <c r="O264" s="673"/>
    </row>
    <row r="265" spans="14:15">
      <c r="N265" s="98"/>
      <c r="O265" s="673"/>
    </row>
    <row r="266" spans="14:15">
      <c r="N266" s="98"/>
      <c r="O266" s="673"/>
    </row>
    <row r="267" spans="14:15">
      <c r="N267" s="98"/>
      <c r="O267" s="673"/>
    </row>
    <row r="268" spans="14:15">
      <c r="N268" s="98"/>
      <c r="O268" s="673"/>
    </row>
    <row r="269" spans="14:15">
      <c r="N269" s="98"/>
      <c r="O269" s="673"/>
    </row>
    <row r="270" spans="14:15">
      <c r="N270" s="98"/>
      <c r="O270" s="673"/>
    </row>
    <row r="271" spans="14:15">
      <c r="N271" s="98"/>
      <c r="O271" s="673"/>
    </row>
    <row r="272" spans="14:15">
      <c r="N272" s="98"/>
      <c r="O272" s="673"/>
    </row>
    <row r="273" spans="14:15">
      <c r="N273" s="98"/>
      <c r="O273" s="673"/>
    </row>
    <row r="274" spans="14:15">
      <c r="N274" s="98"/>
      <c r="O274" s="673"/>
    </row>
    <row r="275" spans="14:15">
      <c r="N275" s="98"/>
      <c r="O275" s="673"/>
    </row>
    <row r="276" spans="14:15">
      <c r="N276" s="98"/>
      <c r="O276" s="673"/>
    </row>
    <row r="277" spans="14:15">
      <c r="N277" s="98"/>
      <c r="O277" s="673"/>
    </row>
    <row r="278" spans="14:15">
      <c r="N278" s="98"/>
      <c r="O278" s="673"/>
    </row>
    <row r="279" spans="14:15">
      <c r="N279" s="98"/>
      <c r="O279" s="673"/>
    </row>
    <row r="280" spans="14:15">
      <c r="N280" s="98"/>
      <c r="O280" s="673"/>
    </row>
    <row r="281" spans="14:15">
      <c r="N281" s="98"/>
      <c r="O281" s="673"/>
    </row>
    <row r="282" spans="14:15">
      <c r="N282" s="98"/>
      <c r="O282" s="673"/>
    </row>
    <row r="283" spans="14:15">
      <c r="N283" s="98"/>
      <c r="O283" s="673"/>
    </row>
    <row r="284" spans="14:15">
      <c r="N284" s="98"/>
      <c r="O284" s="673"/>
    </row>
    <row r="285" spans="14:15">
      <c r="N285" s="98"/>
      <c r="O285" s="673"/>
    </row>
    <row r="286" spans="14:15">
      <c r="N286" s="98"/>
      <c r="O286" s="673"/>
    </row>
    <row r="287" spans="14:15">
      <c r="N287" s="98"/>
      <c r="O287" s="673"/>
    </row>
    <row r="288" spans="14:15">
      <c r="N288" s="98"/>
      <c r="O288" s="673"/>
    </row>
    <row r="289" spans="14:15">
      <c r="N289" s="98"/>
      <c r="O289" s="673"/>
    </row>
    <row r="290" spans="14:15">
      <c r="N290" s="98"/>
      <c r="O290" s="673"/>
    </row>
    <row r="291" spans="14:15">
      <c r="N291" s="98"/>
      <c r="O291" s="673"/>
    </row>
    <row r="292" spans="14:15">
      <c r="N292" s="98"/>
      <c r="O292" s="673"/>
    </row>
    <row r="293" spans="14:15">
      <c r="N293" s="98"/>
      <c r="O293" s="673"/>
    </row>
    <row r="294" spans="14:15">
      <c r="N294" s="98"/>
      <c r="O294" s="673"/>
    </row>
    <row r="295" spans="14:15">
      <c r="N295" s="98"/>
      <c r="O295" s="673"/>
    </row>
    <row r="296" spans="14:15">
      <c r="N296" s="98"/>
      <c r="O296" s="673"/>
    </row>
    <row r="297" spans="14:15">
      <c r="N297" s="98"/>
      <c r="O297" s="673"/>
    </row>
    <row r="298" spans="14:15">
      <c r="N298" s="98"/>
      <c r="O298" s="673"/>
    </row>
    <row r="299" spans="14:15">
      <c r="N299" s="98"/>
      <c r="O299" s="673"/>
    </row>
    <row r="300" spans="14:15">
      <c r="N300" s="98"/>
      <c r="O300" s="673"/>
    </row>
    <row r="301" spans="14:15">
      <c r="N301" s="98"/>
      <c r="O301" s="673"/>
    </row>
    <row r="302" spans="14:15">
      <c r="N302" s="98"/>
      <c r="O302" s="673"/>
    </row>
    <row r="303" spans="14:15">
      <c r="N303" s="98"/>
      <c r="O303" s="673"/>
    </row>
    <row r="304" spans="14:15">
      <c r="N304" s="98"/>
      <c r="O304" s="673"/>
    </row>
    <row r="305" spans="14:15">
      <c r="N305" s="98"/>
      <c r="O305" s="673"/>
    </row>
    <row r="306" spans="14:15">
      <c r="N306" s="98"/>
      <c r="O306" s="673"/>
    </row>
    <row r="307" spans="14:15">
      <c r="N307" s="98"/>
      <c r="O307" s="673"/>
    </row>
    <row r="308" spans="14:15">
      <c r="N308" s="98"/>
      <c r="O308" s="673"/>
    </row>
    <row r="309" spans="14:15">
      <c r="N309" s="98"/>
      <c r="O309" s="673"/>
    </row>
    <row r="310" spans="14:15">
      <c r="N310" s="98"/>
      <c r="O310" s="673"/>
    </row>
    <row r="311" spans="14:15">
      <c r="N311" s="98"/>
      <c r="O311" s="673"/>
    </row>
    <row r="312" spans="14:15">
      <c r="N312" s="98"/>
      <c r="O312" s="673"/>
    </row>
    <row r="313" spans="14:15">
      <c r="N313" s="98"/>
      <c r="O313" s="673"/>
    </row>
    <row r="314" spans="14:15">
      <c r="N314" s="98"/>
      <c r="O314" s="673"/>
    </row>
    <row r="315" spans="14:15">
      <c r="N315" s="98"/>
      <c r="O315" s="673"/>
    </row>
    <row r="316" spans="14:15">
      <c r="N316" s="98"/>
      <c r="O316" s="673"/>
    </row>
    <row r="317" spans="14:15">
      <c r="N317" s="98"/>
      <c r="O317" s="673"/>
    </row>
    <row r="318" spans="14:15">
      <c r="N318" s="98"/>
      <c r="O318" s="673"/>
    </row>
    <row r="319" spans="14:15">
      <c r="N319" s="98"/>
      <c r="O319" s="673"/>
    </row>
    <row r="320" spans="14:15">
      <c r="N320" s="98"/>
      <c r="O320" s="673"/>
    </row>
    <row r="321" spans="14:15">
      <c r="N321" s="98"/>
      <c r="O321" s="673"/>
    </row>
    <row r="322" spans="14:15">
      <c r="N322" s="98"/>
      <c r="O322" s="673"/>
    </row>
    <row r="323" spans="14:15">
      <c r="N323" s="98"/>
      <c r="O323" s="673"/>
    </row>
    <row r="324" spans="14:15">
      <c r="N324" s="98"/>
      <c r="O324" s="673"/>
    </row>
    <row r="325" spans="14:15">
      <c r="N325" s="98"/>
      <c r="O325" s="673"/>
    </row>
    <row r="326" spans="14:15">
      <c r="N326" s="98"/>
      <c r="O326" s="673"/>
    </row>
    <row r="327" spans="14:15">
      <c r="N327" s="98"/>
      <c r="O327" s="673"/>
    </row>
    <row r="328" spans="14:15">
      <c r="N328" s="98"/>
      <c r="O328" s="673"/>
    </row>
    <row r="329" spans="14:15">
      <c r="N329" s="98"/>
      <c r="O329" s="673"/>
    </row>
    <row r="330" spans="14:15">
      <c r="N330" s="98"/>
      <c r="O330" s="673"/>
    </row>
    <row r="331" spans="14:15">
      <c r="N331" s="98"/>
      <c r="O331" s="673"/>
    </row>
    <row r="332" spans="14:15">
      <c r="N332" s="98"/>
      <c r="O332" s="673"/>
    </row>
    <row r="333" spans="14:15">
      <c r="N333" s="98"/>
      <c r="O333" s="673"/>
    </row>
    <row r="334" spans="14:15">
      <c r="N334" s="98"/>
      <c r="O334" s="673"/>
    </row>
    <row r="335" spans="14:15">
      <c r="N335" s="98"/>
      <c r="O335" s="673"/>
    </row>
    <row r="336" spans="14:15">
      <c r="N336" s="98"/>
      <c r="O336" s="673"/>
    </row>
    <row r="337" spans="14:15">
      <c r="N337" s="98"/>
      <c r="O337" s="673"/>
    </row>
    <row r="338" spans="14:15">
      <c r="N338" s="98"/>
      <c r="O338" s="673"/>
    </row>
    <row r="339" spans="14:15">
      <c r="N339" s="98"/>
      <c r="O339" s="673"/>
    </row>
    <row r="340" spans="14:15">
      <c r="N340" s="98"/>
      <c r="O340" s="673"/>
    </row>
    <row r="341" spans="14:15">
      <c r="N341" s="98"/>
      <c r="O341" s="673"/>
    </row>
    <row r="342" spans="14:15">
      <c r="N342" s="98"/>
      <c r="O342" s="673"/>
    </row>
    <row r="343" spans="14:15">
      <c r="N343" s="98"/>
      <c r="O343" s="673"/>
    </row>
    <row r="344" spans="14:15">
      <c r="N344" s="98"/>
      <c r="O344" s="673"/>
    </row>
    <row r="345" spans="14:15">
      <c r="N345" s="98"/>
      <c r="O345" s="673"/>
    </row>
    <row r="346" spans="14:15">
      <c r="N346" s="98"/>
      <c r="O346" s="673"/>
    </row>
    <row r="347" spans="14:15">
      <c r="N347" s="98"/>
      <c r="O347" s="673"/>
    </row>
    <row r="348" spans="14:15">
      <c r="N348" s="98"/>
      <c r="O348" s="673"/>
    </row>
    <row r="349" spans="14:15">
      <c r="N349" s="98"/>
      <c r="O349" s="673"/>
    </row>
    <row r="350" spans="14:15">
      <c r="N350" s="98"/>
      <c r="O350" s="673"/>
    </row>
    <row r="351" spans="14:15">
      <c r="N351" s="98"/>
      <c r="O351" s="673"/>
    </row>
    <row r="352" spans="14:15">
      <c r="N352" s="98"/>
      <c r="O352" s="673"/>
    </row>
    <row r="353" spans="14:15">
      <c r="N353" s="98"/>
      <c r="O353" s="673"/>
    </row>
    <row r="354" spans="14:15">
      <c r="N354" s="98"/>
      <c r="O354" s="673"/>
    </row>
    <row r="355" spans="14:15">
      <c r="N355" s="98"/>
      <c r="O355" s="673"/>
    </row>
    <row r="356" spans="14:15">
      <c r="N356" s="98"/>
      <c r="O356" s="673"/>
    </row>
    <row r="357" spans="14:15">
      <c r="N357" s="98"/>
      <c r="O357" s="673"/>
    </row>
    <row r="358" spans="14:15">
      <c r="N358" s="98"/>
      <c r="O358" s="673"/>
    </row>
    <row r="359" spans="14:15">
      <c r="N359" s="98"/>
      <c r="O359" s="673"/>
    </row>
    <row r="360" spans="14:15">
      <c r="N360" s="98"/>
      <c r="O360" s="673"/>
    </row>
    <row r="361" spans="14:15">
      <c r="N361" s="98"/>
      <c r="O361" s="673"/>
    </row>
    <row r="362" spans="14:15">
      <c r="N362" s="98"/>
      <c r="O362" s="673"/>
    </row>
    <row r="363" spans="14:15">
      <c r="N363" s="98"/>
      <c r="O363" s="673"/>
    </row>
    <row r="364" spans="14:15">
      <c r="N364" s="98"/>
      <c r="O364" s="673"/>
    </row>
    <row r="365" spans="14:15">
      <c r="N365" s="98"/>
      <c r="O365" s="673"/>
    </row>
    <row r="366" spans="14:15">
      <c r="N366" s="98"/>
      <c r="O366" s="673"/>
    </row>
    <row r="367" spans="14:15">
      <c r="N367" s="98"/>
      <c r="O367" s="673"/>
    </row>
    <row r="368" spans="14:15">
      <c r="N368" s="98"/>
      <c r="O368" s="673"/>
    </row>
    <row r="369" spans="14:15">
      <c r="N369" s="98"/>
      <c r="O369" s="673"/>
    </row>
    <row r="370" spans="14:15">
      <c r="N370" s="98"/>
      <c r="O370" s="673"/>
    </row>
    <row r="371" spans="14:15">
      <c r="N371" s="98"/>
      <c r="O371" s="673"/>
    </row>
    <row r="372" spans="14:15">
      <c r="N372" s="98"/>
      <c r="O372" s="673"/>
    </row>
    <row r="373" spans="14:15">
      <c r="N373" s="98"/>
      <c r="O373" s="673"/>
    </row>
    <row r="374" spans="14:15">
      <c r="N374" s="98"/>
      <c r="O374" s="673"/>
    </row>
    <row r="375" spans="14:15">
      <c r="N375" s="98"/>
      <c r="O375" s="673"/>
    </row>
    <row r="376" spans="14:15">
      <c r="N376" s="98"/>
      <c r="O376" s="673"/>
    </row>
    <row r="377" spans="14:15">
      <c r="N377" s="98"/>
      <c r="O377" s="673"/>
    </row>
    <row r="378" spans="14:15">
      <c r="N378" s="98"/>
      <c r="O378" s="673"/>
    </row>
    <row r="379" spans="14:15">
      <c r="N379" s="98"/>
      <c r="O379" s="673"/>
    </row>
    <row r="380" spans="14:15">
      <c r="N380" s="98"/>
      <c r="O380" s="673"/>
    </row>
    <row r="381" spans="14:15">
      <c r="N381" s="98"/>
      <c r="O381" s="673"/>
    </row>
    <row r="382" spans="14:15">
      <c r="N382" s="98"/>
      <c r="O382" s="673"/>
    </row>
    <row r="383" spans="14:15">
      <c r="N383" s="98"/>
      <c r="O383" s="673"/>
    </row>
    <row r="384" spans="14:15">
      <c r="N384" s="98"/>
      <c r="O384" s="673"/>
    </row>
    <row r="385" spans="14:15">
      <c r="N385" s="98"/>
      <c r="O385" s="673"/>
    </row>
    <row r="386" spans="14:15">
      <c r="N386" s="98"/>
      <c r="O386" s="673"/>
    </row>
    <row r="387" spans="14:15">
      <c r="N387" s="98"/>
      <c r="O387" s="673"/>
    </row>
    <row r="388" spans="14:15">
      <c r="N388" s="98"/>
      <c r="O388" s="673"/>
    </row>
    <row r="389" spans="14:15">
      <c r="N389" s="98"/>
      <c r="O389" s="673"/>
    </row>
    <row r="390" spans="14:15">
      <c r="N390" s="98"/>
      <c r="O390" s="673"/>
    </row>
    <row r="391" spans="14:15">
      <c r="N391" s="98"/>
      <c r="O391" s="673"/>
    </row>
    <row r="392" spans="14:15">
      <c r="N392" s="98"/>
      <c r="O392" s="673"/>
    </row>
    <row r="393" spans="14:15">
      <c r="N393" s="98"/>
      <c r="O393" s="673"/>
    </row>
    <row r="394" spans="14:15">
      <c r="N394" s="98"/>
      <c r="O394" s="673"/>
    </row>
    <row r="395" spans="14:15">
      <c r="N395" s="98"/>
      <c r="O395" s="673"/>
    </row>
    <row r="396" spans="14:15">
      <c r="N396" s="98"/>
      <c r="O396" s="673"/>
    </row>
    <row r="397" spans="14:15">
      <c r="N397" s="98"/>
      <c r="O397" s="673"/>
    </row>
    <row r="398" spans="14:15">
      <c r="N398" s="98"/>
      <c r="O398" s="673"/>
    </row>
    <row r="399" spans="14:15">
      <c r="N399" s="98"/>
      <c r="O399" s="673"/>
    </row>
    <row r="400" spans="14:15">
      <c r="N400" s="98"/>
      <c r="O400" s="673"/>
    </row>
    <row r="401" spans="14:15">
      <c r="N401" s="98"/>
      <c r="O401" s="673"/>
    </row>
    <row r="402" spans="14:15">
      <c r="N402" s="98"/>
      <c r="O402" s="673"/>
    </row>
    <row r="403" spans="14:15">
      <c r="N403" s="98"/>
      <c r="O403" s="673"/>
    </row>
    <row r="404" spans="14:15">
      <c r="N404" s="98"/>
      <c r="O404" s="673"/>
    </row>
    <row r="405" spans="14:15">
      <c r="N405" s="98"/>
      <c r="O405" s="673"/>
    </row>
    <row r="406" spans="14:15">
      <c r="N406" s="98"/>
      <c r="O406" s="673"/>
    </row>
    <row r="407" spans="14:15">
      <c r="N407" s="98"/>
      <c r="O407" s="673"/>
    </row>
    <row r="408" spans="14:15">
      <c r="N408" s="98"/>
      <c r="O408" s="673"/>
    </row>
    <row r="409" spans="14:15">
      <c r="N409" s="98"/>
      <c r="O409" s="673"/>
    </row>
    <row r="410" spans="14:15">
      <c r="N410" s="98"/>
      <c r="O410" s="673"/>
    </row>
    <row r="411" spans="14:15">
      <c r="N411" s="98"/>
      <c r="O411" s="673"/>
    </row>
    <row r="412" spans="14:15">
      <c r="N412" s="98"/>
      <c r="O412" s="673"/>
    </row>
    <row r="413" spans="14:15">
      <c r="N413" s="98"/>
      <c r="O413" s="673"/>
    </row>
    <row r="414" spans="14:15">
      <c r="N414" s="98"/>
      <c r="O414" s="673"/>
    </row>
    <row r="415" spans="14:15">
      <c r="N415" s="98"/>
      <c r="O415" s="673"/>
    </row>
    <row r="416" spans="14:15">
      <c r="N416" s="98"/>
      <c r="O416" s="673"/>
    </row>
    <row r="417" spans="14:15">
      <c r="N417" s="98"/>
      <c r="O417" s="673"/>
    </row>
    <row r="418" spans="14:15">
      <c r="N418" s="98"/>
      <c r="O418" s="673"/>
    </row>
    <row r="419" spans="14:15">
      <c r="N419" s="98"/>
      <c r="O419" s="673"/>
    </row>
    <row r="420" spans="14:15">
      <c r="N420" s="98"/>
      <c r="O420" s="673"/>
    </row>
    <row r="421" spans="14:15">
      <c r="N421" s="98"/>
      <c r="O421" s="673"/>
    </row>
    <row r="422" spans="14:15">
      <c r="N422" s="98"/>
      <c r="O422" s="673"/>
    </row>
    <row r="423" spans="14:15">
      <c r="N423" s="98"/>
      <c r="O423" s="673"/>
    </row>
    <row r="424" spans="14:15">
      <c r="N424" s="98"/>
      <c r="O424" s="673"/>
    </row>
    <row r="425" spans="14:15">
      <c r="N425" s="98"/>
      <c r="O425" s="673"/>
    </row>
    <row r="426" spans="14:15">
      <c r="N426" s="98"/>
      <c r="O426" s="673"/>
    </row>
    <row r="427" spans="14:15">
      <c r="N427" s="98"/>
      <c r="O427" s="673"/>
    </row>
    <row r="428" spans="14:15">
      <c r="N428" s="98"/>
      <c r="O428" s="673"/>
    </row>
    <row r="429" spans="14:15">
      <c r="N429" s="98"/>
      <c r="O429" s="673"/>
    </row>
    <row r="430" spans="14:15">
      <c r="N430" s="98"/>
      <c r="O430" s="673"/>
    </row>
    <row r="431" spans="14:15">
      <c r="N431" s="98"/>
      <c r="O431" s="673"/>
    </row>
    <row r="432" spans="14:15">
      <c r="N432" s="98"/>
      <c r="O432" s="673"/>
    </row>
    <row r="433" spans="14:15">
      <c r="N433" s="98"/>
      <c r="O433" s="673"/>
    </row>
    <row r="434" spans="14:15">
      <c r="N434" s="98"/>
      <c r="O434" s="673"/>
    </row>
    <row r="435" spans="14:15">
      <c r="N435" s="98"/>
      <c r="O435" s="673"/>
    </row>
    <row r="436" spans="14:15">
      <c r="N436" s="98"/>
      <c r="O436" s="673"/>
    </row>
    <row r="437" spans="14:15">
      <c r="N437" s="98"/>
      <c r="O437" s="673"/>
    </row>
    <row r="438" spans="14:15">
      <c r="N438" s="98"/>
      <c r="O438" s="673"/>
    </row>
    <row r="439" spans="14:15">
      <c r="N439" s="98"/>
      <c r="O439" s="673"/>
    </row>
    <row r="440" spans="14:15">
      <c r="N440" s="98"/>
      <c r="O440" s="673"/>
    </row>
    <row r="441" spans="14:15">
      <c r="N441" s="98"/>
      <c r="O441" s="673"/>
    </row>
    <row r="442" spans="14:15">
      <c r="N442" s="98"/>
      <c r="O442" s="673"/>
    </row>
    <row r="443" spans="14:15">
      <c r="N443" s="98"/>
      <c r="O443" s="673"/>
    </row>
    <row r="444" spans="14:15">
      <c r="N444" s="98"/>
      <c r="O444" s="673"/>
    </row>
    <row r="445" spans="14:15">
      <c r="N445" s="98"/>
      <c r="O445" s="673"/>
    </row>
    <row r="446" spans="14:15">
      <c r="N446" s="98"/>
      <c r="O446" s="673"/>
    </row>
    <row r="447" spans="14:15">
      <c r="N447" s="98"/>
      <c r="O447" s="673"/>
    </row>
    <row r="448" spans="14:15">
      <c r="N448" s="98"/>
      <c r="O448" s="673"/>
    </row>
    <row r="449" spans="14:15">
      <c r="N449" s="98"/>
      <c r="O449" s="673"/>
    </row>
    <row r="450" spans="14:15">
      <c r="N450" s="98"/>
      <c r="O450" s="673"/>
    </row>
    <row r="451" spans="14:15">
      <c r="N451" s="98"/>
      <c r="O451" s="673"/>
    </row>
    <row r="452" spans="14:15">
      <c r="N452" s="98"/>
      <c r="O452" s="673"/>
    </row>
    <row r="453" spans="14:15">
      <c r="N453" s="98"/>
      <c r="O453" s="673"/>
    </row>
    <row r="454" spans="14:15">
      <c r="N454" s="98"/>
      <c r="O454" s="673"/>
    </row>
    <row r="455" spans="14:15">
      <c r="N455" s="98"/>
      <c r="O455" s="673"/>
    </row>
    <row r="456" spans="14:15">
      <c r="N456" s="98"/>
      <c r="O456" s="673"/>
    </row>
    <row r="457" spans="14:15">
      <c r="N457" s="98"/>
      <c r="O457" s="673"/>
    </row>
    <row r="458" spans="14:15">
      <c r="N458" s="98"/>
      <c r="O458" s="673"/>
    </row>
    <row r="459" spans="14:15">
      <c r="N459" s="98"/>
      <c r="O459" s="673"/>
    </row>
    <row r="460" spans="14:15">
      <c r="N460" s="98"/>
      <c r="O460" s="673"/>
    </row>
    <row r="461" spans="14:15">
      <c r="N461" s="98"/>
      <c r="O461" s="673"/>
    </row>
    <row r="462" spans="14:15">
      <c r="N462" s="98"/>
      <c r="O462" s="673"/>
    </row>
    <row r="463" spans="14:15">
      <c r="N463" s="98"/>
      <c r="O463" s="673"/>
    </row>
    <row r="464" spans="14:15">
      <c r="N464" s="98"/>
      <c r="O464" s="673"/>
    </row>
    <row r="465" spans="14:15">
      <c r="N465" s="98"/>
      <c r="O465" s="673"/>
    </row>
    <row r="466" spans="14:15">
      <c r="N466" s="98"/>
      <c r="O466" s="673"/>
    </row>
    <row r="467" spans="14:15">
      <c r="N467" s="98"/>
      <c r="O467" s="673"/>
    </row>
    <row r="468" spans="14:15">
      <c r="N468" s="98"/>
      <c r="O468" s="673"/>
    </row>
    <row r="469" spans="14:15">
      <c r="N469" s="98"/>
      <c r="O469" s="673"/>
    </row>
    <row r="470" spans="14:15">
      <c r="N470" s="98"/>
      <c r="O470" s="673"/>
    </row>
    <row r="471" spans="14:15">
      <c r="N471" s="98"/>
      <c r="O471" s="673"/>
    </row>
    <row r="472" spans="14:15">
      <c r="N472" s="98"/>
      <c r="O472" s="673"/>
    </row>
    <row r="473" spans="14:15">
      <c r="N473" s="98"/>
      <c r="O473" s="673"/>
    </row>
    <row r="474" spans="14:15">
      <c r="N474" s="98"/>
      <c r="O474" s="673"/>
    </row>
    <row r="475" spans="14:15">
      <c r="N475" s="98"/>
      <c r="O475" s="673"/>
    </row>
    <row r="476" spans="14:15">
      <c r="N476" s="98"/>
      <c r="O476" s="673"/>
    </row>
  </sheetData>
  <mergeCells count="45">
    <mergeCell ref="C86:R86"/>
    <mergeCell ref="D87:S87"/>
    <mergeCell ref="S53:S86"/>
    <mergeCell ref="C55:R55"/>
    <mergeCell ref="C56:R56"/>
    <mergeCell ref="C62:R62"/>
    <mergeCell ref="C63:R63"/>
    <mergeCell ref="C67:R67"/>
    <mergeCell ref="C68:R68"/>
    <mergeCell ref="A22:A50"/>
    <mergeCell ref="B22:B27"/>
    <mergeCell ref="C78:R78"/>
    <mergeCell ref="B81:B84"/>
    <mergeCell ref="C85:R85"/>
    <mergeCell ref="B58:B61"/>
    <mergeCell ref="B65:B66"/>
    <mergeCell ref="B70:B71"/>
    <mergeCell ref="A53:A84"/>
    <mergeCell ref="B53:B54"/>
    <mergeCell ref="C72:R72"/>
    <mergeCell ref="C73:R73"/>
    <mergeCell ref="B75:B76"/>
    <mergeCell ref="C77:R77"/>
    <mergeCell ref="S22:S50"/>
    <mergeCell ref="C26:R26"/>
    <mergeCell ref="C27:R27"/>
    <mergeCell ref="B29:B34"/>
    <mergeCell ref="C33:R33"/>
    <mergeCell ref="C34:R34"/>
    <mergeCell ref="B36:B45"/>
    <mergeCell ref="C44:R44"/>
    <mergeCell ref="C45:R45"/>
    <mergeCell ref="B47:B50"/>
    <mergeCell ref="C49:R49"/>
    <mergeCell ref="C50:R50"/>
    <mergeCell ref="A1:Q1"/>
    <mergeCell ref="R1:S1"/>
    <mergeCell ref="S2:S19"/>
    <mergeCell ref="A3:A19"/>
    <mergeCell ref="B3:B12"/>
    <mergeCell ref="C11:R11"/>
    <mergeCell ref="C12:R12"/>
    <mergeCell ref="B14:B19"/>
    <mergeCell ref="C18:R18"/>
    <mergeCell ref="C19:R19"/>
  </mergeCells>
  <pageMargins left="0.23622047244094491" right="0.23622047244094491" top="0.74803149606299213" bottom="0.74803149606299213" header="0.31496062992125984" footer="0.31496062992125984"/>
  <pageSetup paperSize="8" scale="82" fitToHeight="0" orientation="landscape" r:id="rId1"/>
  <headerFooter>
    <oddHeader>&amp;C&amp;"Calibri"&amp;10&amp;K000000 OFFICIAL&amp;1#_x000D_</oddHeader>
    <oddFooter>&amp;C_x000D_&amp;1#&amp;"Calibri"&amp;10&amp;K000000 OFFICIAL</oddFooter>
  </headerFooter>
  <rowBreaks count="1" manualBreakCount="1">
    <brk id="51"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D8F0F-D9A3-426B-B2F5-C32086B95AAD}">
  <sheetPr>
    <pageSetUpPr fitToPage="1"/>
  </sheetPr>
  <dimension ref="A1:M101"/>
  <sheetViews>
    <sheetView showGridLines="0" zoomScaleNormal="100" workbookViewId="0">
      <pane xSplit="2" ySplit="3" topLeftCell="F77" activePane="bottomRight" state="frozen"/>
      <selection pane="bottomRight" activeCell="F77" sqref="F77"/>
      <selection pane="bottomLeft" activeCell="A4" sqref="A4"/>
      <selection pane="topRight" activeCell="C1" sqref="C1"/>
    </sheetView>
  </sheetViews>
  <sheetFormatPr defaultColWidth="8.85546875" defaultRowHeight="9.9499999999999993"/>
  <cols>
    <col min="1" max="1" width="16.42578125" style="334" customWidth="1"/>
    <col min="2" max="2" width="23" style="334" customWidth="1"/>
    <col min="3" max="3" width="20.7109375" style="433" customWidth="1"/>
    <col min="4" max="4" width="20.7109375" style="349" hidden="1" customWidth="1"/>
    <col min="5" max="5" width="16.85546875" style="349" hidden="1" customWidth="1"/>
    <col min="6" max="6" width="17.140625" style="349" customWidth="1"/>
    <col min="7" max="7" width="18.85546875" style="349" customWidth="1"/>
    <col min="8" max="8" width="17.85546875" style="349" customWidth="1"/>
    <col min="9" max="9" width="18" style="349" customWidth="1"/>
    <col min="10" max="10" width="18.5703125" style="334" customWidth="1"/>
    <col min="11" max="11" width="17.7109375" style="334" customWidth="1"/>
    <col min="12" max="12" width="17.5703125" style="334" customWidth="1"/>
    <col min="13" max="13" width="63" style="334" customWidth="1"/>
    <col min="14" max="16384" width="8.85546875" style="334"/>
  </cols>
  <sheetData>
    <row r="1" spans="1:13" ht="16.350000000000001" customHeight="1" thickBot="1">
      <c r="A1" s="330" t="s">
        <v>291</v>
      </c>
      <c r="B1" s="331" t="s">
        <v>13</v>
      </c>
      <c r="C1" s="332"/>
      <c r="D1" s="333"/>
      <c r="E1" s="333"/>
      <c r="F1" s="333"/>
      <c r="G1" s="333"/>
      <c r="H1" s="333"/>
      <c r="I1" s="333"/>
      <c r="J1" s="333"/>
      <c r="K1" s="1181"/>
      <c r="L1" s="1181"/>
      <c r="M1" s="1181"/>
    </row>
    <row r="2" spans="1:13" s="338" customFormat="1" ht="17.100000000000001" customHeight="1" thickBot="1">
      <c r="A2" s="1182"/>
      <c r="B2" s="1183"/>
      <c r="C2" s="1184" t="s">
        <v>292</v>
      </c>
      <c r="D2" s="1185"/>
      <c r="E2" s="335">
        <v>1</v>
      </c>
      <c r="F2" s="335">
        <v>2</v>
      </c>
      <c r="G2" s="335">
        <v>3</v>
      </c>
      <c r="H2" s="335">
        <v>4</v>
      </c>
      <c r="I2" s="335">
        <v>5</v>
      </c>
      <c r="J2" s="335">
        <v>6</v>
      </c>
      <c r="K2" s="335">
        <v>7</v>
      </c>
      <c r="L2" s="336"/>
      <c r="M2" s="337"/>
    </row>
    <row r="3" spans="1:13" ht="11.1" thickBot="1">
      <c r="A3" s="339"/>
      <c r="B3" s="340"/>
      <c r="C3" s="341" t="s">
        <v>293</v>
      </c>
      <c r="D3" s="342" t="s">
        <v>294</v>
      </c>
      <c r="E3" s="343" t="s">
        <v>295</v>
      </c>
      <c r="F3" s="343" t="s">
        <v>296</v>
      </c>
      <c r="G3" s="343" t="s">
        <v>297</v>
      </c>
      <c r="H3" s="343" t="s">
        <v>298</v>
      </c>
      <c r="I3" s="343" t="s">
        <v>299</v>
      </c>
      <c r="J3" s="343" t="s">
        <v>300</v>
      </c>
      <c r="K3" s="343" t="s">
        <v>301</v>
      </c>
      <c r="L3" s="344" t="s">
        <v>302</v>
      </c>
      <c r="M3" s="345"/>
    </row>
    <row r="4" spans="1:13" ht="11.1" thickBot="1">
      <c r="A4" s="346" t="s">
        <v>2</v>
      </c>
      <c r="B4" s="347" t="s">
        <v>303</v>
      </c>
      <c r="C4" s="348"/>
      <c r="M4" s="350" t="s">
        <v>35</v>
      </c>
    </row>
    <row r="5" spans="1:13" ht="11.45">
      <c r="A5" s="1152" t="s">
        <v>304</v>
      </c>
      <c r="B5" s="1186" t="s">
        <v>305</v>
      </c>
      <c r="C5" s="352" t="s">
        <v>29</v>
      </c>
      <c r="D5" s="353"/>
      <c r="E5" s="354">
        <v>0</v>
      </c>
      <c r="F5" s="451">
        <v>120.59016393442624</v>
      </c>
      <c r="G5" s="451">
        <v>402.55737704918033</v>
      </c>
      <c r="H5" s="451">
        <v>884.52459016393436</v>
      </c>
      <c r="I5" s="451">
        <v>1366.4918032786884</v>
      </c>
      <c r="J5" s="355"/>
      <c r="K5" s="355"/>
      <c r="L5" s="356">
        <f>I5</f>
        <v>1366.4918032786884</v>
      </c>
      <c r="M5" s="1166"/>
    </row>
    <row r="6" spans="1:13" ht="11.1" thickBot="1">
      <c r="A6" s="1153"/>
      <c r="B6" s="1187"/>
      <c r="C6" s="358" t="s">
        <v>306</v>
      </c>
      <c r="D6" s="359"/>
      <c r="E6" s="360"/>
      <c r="F6" s="360">
        <v>0</v>
      </c>
      <c r="G6" s="360"/>
      <c r="H6" s="361"/>
      <c r="I6" s="361"/>
      <c r="J6" s="361"/>
      <c r="K6" s="361"/>
      <c r="L6" s="362"/>
      <c r="M6" s="1167"/>
    </row>
    <row r="7" spans="1:13" ht="72" customHeight="1" thickBot="1">
      <c r="A7" s="1153"/>
      <c r="B7" s="1187"/>
      <c r="C7" s="364" t="s">
        <v>307</v>
      </c>
      <c r="D7" s="1163" t="s">
        <v>308</v>
      </c>
      <c r="E7" s="1164"/>
      <c r="F7" s="1164"/>
      <c r="G7" s="1164"/>
      <c r="H7" s="1164"/>
      <c r="I7" s="1164"/>
      <c r="J7" s="1164"/>
      <c r="K7" s="1164"/>
      <c r="L7" s="1165"/>
      <c r="M7" s="1167"/>
    </row>
    <row r="8" spans="1:13" ht="15.75" customHeight="1" thickBot="1">
      <c r="A8" s="1153"/>
      <c r="B8" s="330" t="s">
        <v>309</v>
      </c>
      <c r="C8" s="365"/>
      <c r="D8" s="342" t="s">
        <v>294</v>
      </c>
      <c r="E8" s="343" t="s">
        <v>295</v>
      </c>
      <c r="F8" s="343" t="s">
        <v>296</v>
      </c>
      <c r="G8" s="343" t="s">
        <v>297</v>
      </c>
      <c r="H8" s="343" t="s">
        <v>298</v>
      </c>
      <c r="I8" s="343" t="s">
        <v>299</v>
      </c>
      <c r="J8" s="343" t="s">
        <v>300</v>
      </c>
      <c r="K8" s="343" t="s">
        <v>301</v>
      </c>
      <c r="L8" s="344" t="s">
        <v>302</v>
      </c>
      <c r="M8" s="1167"/>
    </row>
    <row r="9" spans="1:13" ht="24" customHeight="1">
      <c r="A9" s="1153"/>
      <c r="B9" s="1188" t="s">
        <v>310</v>
      </c>
      <c r="C9" s="352" t="s">
        <v>29</v>
      </c>
      <c r="D9" s="366"/>
      <c r="E9" s="354">
        <v>0</v>
      </c>
      <c r="F9" s="451">
        <v>242</v>
      </c>
      <c r="G9" s="451">
        <v>806</v>
      </c>
      <c r="H9" s="451">
        <v>1770</v>
      </c>
      <c r="I9" s="451">
        <v>2732</v>
      </c>
      <c r="J9" s="354">
        <v>3506</v>
      </c>
      <c r="K9" s="354">
        <v>5419</v>
      </c>
      <c r="L9" s="356">
        <f>K9</f>
        <v>5419</v>
      </c>
      <c r="M9" s="1167"/>
    </row>
    <row r="10" spans="1:13" ht="26.1" customHeight="1">
      <c r="A10" s="1153"/>
      <c r="B10" s="1189"/>
      <c r="C10" s="367" t="s">
        <v>306</v>
      </c>
      <c r="D10" s="359"/>
      <c r="E10" s="360"/>
      <c r="F10" s="368">
        <v>0</v>
      </c>
      <c r="G10" s="360"/>
      <c r="H10" s="360"/>
      <c r="I10" s="360"/>
      <c r="J10" s="360"/>
      <c r="K10" s="360"/>
      <c r="L10" s="369"/>
      <c r="M10" s="1167"/>
    </row>
    <row r="11" spans="1:13" ht="26.1" customHeight="1">
      <c r="A11" s="1153"/>
      <c r="B11" s="1189"/>
      <c r="C11" s="367" t="s">
        <v>311</v>
      </c>
      <c r="D11" s="359"/>
      <c r="E11" s="368"/>
      <c r="F11" s="368"/>
      <c r="G11" s="370"/>
      <c r="H11" s="360"/>
      <c r="I11" s="368"/>
      <c r="J11" s="368"/>
      <c r="K11" s="368"/>
      <c r="L11" s="371"/>
      <c r="M11" s="1167"/>
    </row>
    <row r="12" spans="1:13" ht="26.1" customHeight="1">
      <c r="A12" s="1153"/>
      <c r="B12" s="1189"/>
      <c r="C12" s="367" t="s">
        <v>312</v>
      </c>
      <c r="D12" s="359"/>
      <c r="E12" s="368"/>
      <c r="F12" s="368"/>
      <c r="G12" s="370"/>
      <c r="H12" s="360"/>
      <c r="I12" s="368"/>
      <c r="J12" s="368"/>
      <c r="K12" s="368"/>
      <c r="L12" s="371"/>
      <c r="M12" s="1167"/>
    </row>
    <row r="13" spans="1:13" ht="26.1" customHeight="1" thickBot="1">
      <c r="A13" s="1153"/>
      <c r="B13" s="1189"/>
      <c r="C13" s="372" t="s">
        <v>313</v>
      </c>
      <c r="D13" s="359"/>
      <c r="E13" s="368"/>
      <c r="F13" s="368"/>
      <c r="G13" s="370"/>
      <c r="H13" s="360"/>
      <c r="I13" s="368"/>
      <c r="J13" s="368"/>
      <c r="K13" s="368"/>
      <c r="L13" s="371"/>
      <c r="M13" s="1167"/>
    </row>
    <row r="14" spans="1:13" ht="21.6" customHeight="1" thickBot="1">
      <c r="A14" s="1153"/>
      <c r="B14" s="1190"/>
      <c r="C14" s="364" t="s">
        <v>307</v>
      </c>
      <c r="D14" s="1191" t="s">
        <v>314</v>
      </c>
      <c r="E14" s="1192"/>
      <c r="F14" s="1192"/>
      <c r="G14" s="1192"/>
      <c r="H14" s="1192"/>
      <c r="I14" s="1192"/>
      <c r="J14" s="1192"/>
      <c r="K14" s="1192"/>
      <c r="L14" s="1193"/>
      <c r="M14" s="1167"/>
    </row>
    <row r="15" spans="1:13" ht="11.1" thickBot="1">
      <c r="A15" s="1153"/>
      <c r="B15" s="347" t="s">
        <v>20</v>
      </c>
      <c r="C15" s="348"/>
      <c r="D15" s="342" t="s">
        <v>294</v>
      </c>
      <c r="E15" s="343" t="s">
        <v>295</v>
      </c>
      <c r="F15" s="343" t="s">
        <v>296</v>
      </c>
      <c r="G15" s="343" t="s">
        <v>297</v>
      </c>
      <c r="H15" s="343" t="s">
        <v>298</v>
      </c>
      <c r="I15" s="343" t="s">
        <v>299</v>
      </c>
      <c r="J15" s="343" t="s">
        <v>300</v>
      </c>
      <c r="K15" s="343" t="s">
        <v>301</v>
      </c>
      <c r="L15" s="344" t="s">
        <v>302</v>
      </c>
      <c r="M15" s="1167"/>
    </row>
    <row r="16" spans="1:13" ht="11.45">
      <c r="A16" s="1153"/>
      <c r="B16" s="1152" t="s">
        <v>315</v>
      </c>
      <c r="C16" s="373" t="s">
        <v>29</v>
      </c>
      <c r="D16" s="374"/>
      <c r="E16" s="452">
        <v>0</v>
      </c>
      <c r="F16" s="452">
        <v>0</v>
      </c>
      <c r="G16" s="452">
        <v>0.01</v>
      </c>
      <c r="H16" s="452">
        <v>0.01</v>
      </c>
      <c r="I16" s="375"/>
      <c r="J16" s="375"/>
      <c r="K16" s="375"/>
      <c r="L16" s="376" t="s">
        <v>316</v>
      </c>
      <c r="M16" s="1167"/>
    </row>
    <row r="17" spans="1:13" ht="13.5" customHeight="1" thickBot="1">
      <c r="A17" s="1153"/>
      <c r="B17" s="1153"/>
      <c r="C17" s="377" t="s">
        <v>31</v>
      </c>
      <c r="D17" s="378"/>
      <c r="E17" s="379"/>
      <c r="F17" s="379">
        <v>0.02</v>
      </c>
      <c r="G17" s="379"/>
      <c r="H17" s="380"/>
      <c r="I17" s="380"/>
      <c r="J17" s="380"/>
      <c r="K17" s="380"/>
      <c r="L17" s="381"/>
      <c r="M17" s="1167"/>
    </row>
    <row r="18" spans="1:13" ht="38.25" customHeight="1" thickBot="1">
      <c r="A18" s="1154"/>
      <c r="B18" s="1154"/>
      <c r="C18" s="383" t="s">
        <v>307</v>
      </c>
      <c r="D18" s="1164" t="s">
        <v>317</v>
      </c>
      <c r="E18" s="1164"/>
      <c r="F18" s="1164"/>
      <c r="G18" s="1164"/>
      <c r="H18" s="1164"/>
      <c r="I18" s="1164"/>
      <c r="J18" s="1164"/>
      <c r="K18" s="1164"/>
      <c r="L18" s="1165"/>
      <c r="M18" s="1168"/>
    </row>
    <row r="19" spans="1:13" ht="11.1" thickBot="1">
      <c r="A19" s="384"/>
      <c r="B19" s="384"/>
      <c r="C19" s="385"/>
      <c r="D19" s="386"/>
      <c r="E19" s="386"/>
      <c r="F19" s="386"/>
      <c r="G19" s="386"/>
      <c r="H19" s="386"/>
      <c r="I19" s="386"/>
      <c r="J19" s="386"/>
      <c r="K19" s="386"/>
      <c r="L19" s="386"/>
      <c r="M19" s="384"/>
    </row>
    <row r="20" spans="1:13" ht="11.1" thickBot="1">
      <c r="A20" s="387" t="s">
        <v>33</v>
      </c>
      <c r="B20" s="330" t="s">
        <v>34</v>
      </c>
      <c r="C20" s="388"/>
      <c r="D20" s="389" t="s">
        <v>294</v>
      </c>
      <c r="E20" s="343" t="s">
        <v>295</v>
      </c>
      <c r="F20" s="343" t="s">
        <v>296</v>
      </c>
      <c r="G20" s="343" t="s">
        <v>297</v>
      </c>
      <c r="H20" s="343" t="s">
        <v>298</v>
      </c>
      <c r="I20" s="343" t="s">
        <v>299</v>
      </c>
      <c r="J20" s="343" t="s">
        <v>300</v>
      </c>
      <c r="K20" s="343" t="s">
        <v>301</v>
      </c>
      <c r="L20" s="344" t="s">
        <v>302</v>
      </c>
      <c r="M20" s="350" t="s">
        <v>35</v>
      </c>
    </row>
    <row r="21" spans="1:13" ht="11.45">
      <c r="A21" s="1176" t="s">
        <v>318</v>
      </c>
      <c r="B21" s="1159" t="s">
        <v>319</v>
      </c>
      <c r="C21" s="373" t="s">
        <v>29</v>
      </c>
      <c r="D21" s="390"/>
      <c r="E21" s="391">
        <v>0</v>
      </c>
      <c r="F21" s="453">
        <v>1.4634146341463414E-2</v>
      </c>
      <c r="G21" s="453">
        <v>4.878048780487805E-2</v>
      </c>
      <c r="H21" s="453">
        <v>0.10731707317073171</v>
      </c>
      <c r="I21" s="453">
        <v>0.16585365853658537</v>
      </c>
      <c r="J21" s="355"/>
      <c r="K21" s="355"/>
      <c r="L21" s="392">
        <f>I21</f>
        <v>0.16585365853658537</v>
      </c>
      <c r="M21" s="1166" t="s">
        <v>320</v>
      </c>
    </row>
    <row r="22" spans="1:13" ht="11.1" thickBot="1">
      <c r="A22" s="1177"/>
      <c r="B22" s="1160"/>
      <c r="C22" s="393" t="s">
        <v>321</v>
      </c>
      <c r="D22" s="359"/>
      <c r="E22" s="394"/>
      <c r="F22" s="395">
        <v>0</v>
      </c>
      <c r="G22" s="395"/>
      <c r="H22" s="394"/>
      <c r="I22" s="394"/>
      <c r="J22" s="394"/>
      <c r="K22" s="394"/>
      <c r="L22" s="396"/>
      <c r="M22" s="1167"/>
    </row>
    <row r="23" spans="1:13" ht="64.5" customHeight="1" thickBot="1">
      <c r="A23" s="1177"/>
      <c r="B23" s="1160"/>
      <c r="C23" s="383" t="s">
        <v>307</v>
      </c>
      <c r="D23" s="1179" t="s">
        <v>322</v>
      </c>
      <c r="E23" s="1179"/>
      <c r="F23" s="1179"/>
      <c r="G23" s="1179"/>
      <c r="H23" s="1179"/>
      <c r="I23" s="1179"/>
      <c r="J23" s="1179"/>
      <c r="K23" s="1179"/>
      <c r="L23" s="1180"/>
      <c r="M23" s="1167"/>
    </row>
    <row r="24" spans="1:13" ht="10.5" thickBot="1">
      <c r="A24" s="1177"/>
      <c r="B24" s="1161"/>
      <c r="C24" s="397"/>
      <c r="L24" s="398"/>
      <c r="M24" s="1167"/>
    </row>
    <row r="25" spans="1:13" ht="11.1" thickBot="1">
      <c r="A25" s="1177"/>
      <c r="B25" s="399" t="s">
        <v>47</v>
      </c>
      <c r="C25" s="400"/>
      <c r="D25" s="401" t="s">
        <v>294</v>
      </c>
      <c r="E25" s="343" t="s">
        <v>295</v>
      </c>
      <c r="F25" s="343" t="s">
        <v>296</v>
      </c>
      <c r="G25" s="343" t="s">
        <v>297</v>
      </c>
      <c r="H25" s="343" t="s">
        <v>298</v>
      </c>
      <c r="I25" s="343" t="s">
        <v>299</v>
      </c>
      <c r="J25" s="343" t="s">
        <v>300</v>
      </c>
      <c r="K25" s="343" t="s">
        <v>301</v>
      </c>
      <c r="L25" s="344" t="s">
        <v>302</v>
      </c>
      <c r="M25" s="1167"/>
    </row>
    <row r="26" spans="1:13" ht="10.5">
      <c r="A26" s="1177"/>
      <c r="B26" s="1144" t="s">
        <v>323</v>
      </c>
      <c r="C26" s="402" t="s">
        <v>29</v>
      </c>
      <c r="D26" s="403"/>
      <c r="E26" s="404">
        <v>0</v>
      </c>
      <c r="F26" s="404">
        <v>0</v>
      </c>
      <c r="G26" s="404">
        <v>0</v>
      </c>
      <c r="H26" s="353">
        <v>1</v>
      </c>
      <c r="I26" s="353">
        <v>3</v>
      </c>
      <c r="J26" s="353">
        <v>5</v>
      </c>
      <c r="K26" s="355"/>
      <c r="L26" s="405">
        <f>J26</f>
        <v>5</v>
      </c>
      <c r="M26" s="1167"/>
    </row>
    <row r="27" spans="1:13" ht="10.5">
      <c r="A27" s="1177"/>
      <c r="B27" s="1145"/>
      <c r="C27" s="406" t="s">
        <v>31</v>
      </c>
      <c r="D27" s="359"/>
      <c r="E27" s="368"/>
      <c r="F27" s="368">
        <v>0</v>
      </c>
      <c r="G27" s="368"/>
      <c r="H27" s="368"/>
      <c r="I27" s="407"/>
      <c r="J27" s="407"/>
      <c r="K27" s="407"/>
      <c r="L27" s="408"/>
      <c r="M27" s="1167"/>
    </row>
    <row r="28" spans="1:13" ht="39" customHeight="1" thickBot="1">
      <c r="A28" s="1177"/>
      <c r="B28" s="1145"/>
      <c r="C28" s="409" t="s">
        <v>307</v>
      </c>
      <c r="D28" s="1162" t="s">
        <v>324</v>
      </c>
      <c r="E28" s="1157"/>
      <c r="F28" s="1157"/>
      <c r="G28" s="1157"/>
      <c r="H28" s="1157"/>
      <c r="I28" s="1157"/>
      <c r="J28" s="1157"/>
      <c r="K28" s="1157"/>
      <c r="L28" s="1158"/>
      <c r="M28" s="1167"/>
    </row>
    <row r="29" spans="1:13" ht="12" customHeight="1" thickBot="1">
      <c r="A29" s="1177"/>
      <c r="B29" s="1146"/>
      <c r="C29" s="410"/>
      <c r="D29" s="411"/>
      <c r="E29" s="412"/>
      <c r="F29" s="412"/>
      <c r="G29" s="412"/>
      <c r="H29" s="412"/>
      <c r="I29" s="412"/>
      <c r="J29" s="412"/>
      <c r="K29" s="412"/>
      <c r="L29" s="413"/>
      <c r="M29" s="1167"/>
    </row>
    <row r="30" spans="1:13" ht="11.1" thickBot="1">
      <c r="A30" s="1177"/>
      <c r="B30" s="399" t="s">
        <v>55</v>
      </c>
      <c r="C30" s="414"/>
      <c r="D30" s="342" t="s">
        <v>294</v>
      </c>
      <c r="E30" s="343" t="s">
        <v>295</v>
      </c>
      <c r="F30" s="343" t="s">
        <v>296</v>
      </c>
      <c r="G30" s="343" t="s">
        <v>297</v>
      </c>
      <c r="H30" s="343" t="s">
        <v>298</v>
      </c>
      <c r="I30" s="343" t="s">
        <v>299</v>
      </c>
      <c r="J30" s="343" t="s">
        <v>300</v>
      </c>
      <c r="K30" s="343" t="s">
        <v>301</v>
      </c>
      <c r="L30" s="344" t="s">
        <v>302</v>
      </c>
      <c r="M30" s="1167"/>
    </row>
    <row r="31" spans="1:13" ht="11.45">
      <c r="A31" s="1177"/>
      <c r="B31" s="1144" t="s">
        <v>325</v>
      </c>
      <c r="C31" s="402" t="s">
        <v>29</v>
      </c>
      <c r="D31" s="403"/>
      <c r="E31" s="404">
        <v>0</v>
      </c>
      <c r="F31" s="454">
        <v>1</v>
      </c>
      <c r="G31" s="455">
        <v>2</v>
      </c>
      <c r="H31" s="454">
        <v>3</v>
      </c>
      <c r="I31" s="355"/>
      <c r="J31" s="355"/>
      <c r="K31" s="355"/>
      <c r="L31" s="405">
        <f>H31</f>
        <v>3</v>
      </c>
      <c r="M31" s="1167"/>
    </row>
    <row r="32" spans="1:13" ht="10.5">
      <c r="A32" s="1177"/>
      <c r="B32" s="1236"/>
      <c r="C32" s="406" t="s">
        <v>31</v>
      </c>
      <c r="D32" s="359"/>
      <c r="E32" s="368"/>
      <c r="F32" s="368">
        <v>0</v>
      </c>
      <c r="G32" s="415"/>
      <c r="H32" s="368"/>
      <c r="I32" s="368"/>
      <c r="J32" s="368"/>
      <c r="K32" s="368"/>
      <c r="L32" s="371"/>
      <c r="M32" s="1167"/>
    </row>
    <row r="33" spans="1:13" ht="48.95" customHeight="1" thickBot="1">
      <c r="A33" s="1178"/>
      <c r="B33" s="1237"/>
      <c r="C33" s="409" t="s">
        <v>307</v>
      </c>
      <c r="D33" s="1162" t="s">
        <v>326</v>
      </c>
      <c r="E33" s="1157"/>
      <c r="F33" s="1157"/>
      <c r="G33" s="1157"/>
      <c r="H33" s="1157"/>
      <c r="I33" s="1157"/>
      <c r="J33" s="1157"/>
      <c r="K33" s="1157"/>
      <c r="L33" s="1158"/>
      <c r="M33" s="1168"/>
    </row>
    <row r="34" spans="1:13" ht="11.1" thickBot="1">
      <c r="A34" s="384"/>
      <c r="B34" s="384"/>
      <c r="C34" s="385"/>
      <c r="D34" s="386"/>
      <c r="E34" s="386"/>
      <c r="F34" s="386"/>
      <c r="G34" s="386"/>
      <c r="H34" s="386"/>
      <c r="I34" s="386"/>
      <c r="J34" s="386"/>
      <c r="K34" s="386"/>
      <c r="L34" s="386"/>
      <c r="M34" s="416"/>
    </row>
    <row r="35" spans="1:13" ht="21.6" thickBot="1">
      <c r="A35" s="417" t="s">
        <v>327</v>
      </c>
      <c r="B35" s="330" t="s">
        <v>328</v>
      </c>
      <c r="C35" s="332"/>
      <c r="D35" s="342" t="s">
        <v>294</v>
      </c>
      <c r="E35" s="343" t="s">
        <v>295</v>
      </c>
      <c r="F35" s="343" t="s">
        <v>296</v>
      </c>
      <c r="G35" s="343" t="s">
        <v>297</v>
      </c>
      <c r="H35" s="343" t="s">
        <v>298</v>
      </c>
      <c r="I35" s="343" t="s">
        <v>299</v>
      </c>
      <c r="J35" s="343" t="s">
        <v>300</v>
      </c>
      <c r="K35" s="343" t="s">
        <v>301</v>
      </c>
      <c r="L35" s="344" t="s">
        <v>302</v>
      </c>
      <c r="M35" s="418" t="s">
        <v>35</v>
      </c>
    </row>
    <row r="36" spans="1:13" ht="18" customHeight="1">
      <c r="A36" s="1144" t="s">
        <v>329</v>
      </c>
      <c r="B36" s="1144" t="s">
        <v>330</v>
      </c>
      <c r="C36" s="402" t="s">
        <v>29</v>
      </c>
      <c r="D36" s="419"/>
      <c r="E36" s="353">
        <v>0</v>
      </c>
      <c r="F36" s="456">
        <v>1</v>
      </c>
      <c r="G36" s="457">
        <v>3</v>
      </c>
      <c r="H36" s="456">
        <v>6</v>
      </c>
      <c r="I36" s="456">
        <v>9</v>
      </c>
      <c r="J36" s="355"/>
      <c r="K36" s="355"/>
      <c r="L36" s="405">
        <v>9</v>
      </c>
      <c r="M36" s="1166" t="s">
        <v>331</v>
      </c>
    </row>
    <row r="37" spans="1:13" ht="27.6" customHeight="1">
      <c r="A37" s="1145"/>
      <c r="B37" s="1145"/>
      <c r="C37" s="406" t="s">
        <v>31</v>
      </c>
      <c r="D37" s="420"/>
      <c r="E37" s="368"/>
      <c r="F37" s="368">
        <v>0</v>
      </c>
      <c r="G37" s="368"/>
      <c r="H37" s="368"/>
      <c r="I37" s="368"/>
      <c r="J37" s="368"/>
      <c r="K37" s="368"/>
      <c r="L37" s="371"/>
      <c r="M37" s="1167"/>
    </row>
    <row r="38" spans="1:13" ht="28.5" customHeight="1" thickBot="1">
      <c r="A38" s="1146"/>
      <c r="B38" s="1146"/>
      <c r="C38" s="421" t="s">
        <v>307</v>
      </c>
      <c r="D38" s="1147" t="s">
        <v>332</v>
      </c>
      <c r="E38" s="1148"/>
      <c r="F38" s="1148"/>
      <c r="G38" s="1148"/>
      <c r="H38" s="1148"/>
      <c r="I38" s="422"/>
      <c r="J38" s="422"/>
      <c r="K38" s="423"/>
      <c r="L38" s="424"/>
      <c r="M38" s="1168"/>
    </row>
    <row r="39" spans="1:13" s="464" customFormat="1" ht="27" customHeight="1" thickBot="1">
      <c r="A39" s="459"/>
      <c r="B39" s="458" t="s">
        <v>333</v>
      </c>
      <c r="C39" s="460"/>
      <c r="D39" s="461" t="s">
        <v>294</v>
      </c>
      <c r="E39" s="462" t="s">
        <v>295</v>
      </c>
      <c r="F39" s="462" t="s">
        <v>296</v>
      </c>
      <c r="G39" s="462" t="s">
        <v>297</v>
      </c>
      <c r="H39" s="462" t="s">
        <v>298</v>
      </c>
      <c r="I39" s="462" t="s">
        <v>299</v>
      </c>
      <c r="J39" s="462" t="s">
        <v>300</v>
      </c>
      <c r="K39" s="462" t="s">
        <v>301</v>
      </c>
      <c r="L39" s="463" t="s">
        <v>302</v>
      </c>
      <c r="M39" s="449"/>
    </row>
    <row r="40" spans="1:13" s="464" customFormat="1" ht="24" customHeight="1">
      <c r="A40" s="459"/>
      <c r="B40" s="1170" t="s">
        <v>334</v>
      </c>
      <c r="C40" s="465" t="s">
        <v>335</v>
      </c>
      <c r="D40" s="466"/>
      <c r="E40" s="456">
        <v>0</v>
      </c>
      <c r="F40" s="456">
        <v>3</v>
      </c>
      <c r="G40" s="456">
        <v>6</v>
      </c>
      <c r="H40" s="456">
        <v>11</v>
      </c>
      <c r="I40" s="467"/>
      <c r="J40" s="467"/>
      <c r="K40" s="467"/>
      <c r="L40" s="468">
        <v>11</v>
      </c>
      <c r="M40" s="449"/>
    </row>
    <row r="41" spans="1:13" s="464" customFormat="1" ht="24" customHeight="1" thickBot="1">
      <c r="A41" s="459"/>
      <c r="B41" s="1171"/>
      <c r="C41" s="469" t="s">
        <v>31</v>
      </c>
      <c r="D41" s="470"/>
      <c r="E41" s="471">
        <v>0</v>
      </c>
      <c r="F41" s="471">
        <v>0</v>
      </c>
      <c r="G41" s="471"/>
      <c r="H41" s="471"/>
      <c r="I41" s="471"/>
      <c r="J41" s="471"/>
      <c r="K41" s="471"/>
      <c r="L41" s="472"/>
      <c r="M41" s="449"/>
    </row>
    <row r="42" spans="1:13" s="464" customFormat="1" ht="48.6" customHeight="1" thickBot="1">
      <c r="A42" s="459"/>
      <c r="B42" s="1172"/>
      <c r="C42" s="473" t="s">
        <v>307</v>
      </c>
      <c r="D42" s="1173" t="s">
        <v>336</v>
      </c>
      <c r="E42" s="1174"/>
      <c r="F42" s="1174"/>
      <c r="G42" s="1174"/>
      <c r="H42" s="1174"/>
      <c r="I42" s="1174"/>
      <c r="J42" s="1174"/>
      <c r="K42" s="1174"/>
      <c r="L42" s="1175"/>
      <c r="M42" s="449"/>
    </row>
    <row r="43" spans="1:13" ht="11.1" thickBot="1">
      <c r="A43" s="384"/>
      <c r="B43" s="384"/>
      <c r="C43" s="385"/>
      <c r="D43" s="386"/>
      <c r="E43" s="386"/>
      <c r="F43" s="386"/>
      <c r="G43" s="386"/>
      <c r="H43" s="386"/>
      <c r="I43" s="386"/>
      <c r="J43" s="386"/>
      <c r="K43" s="386"/>
      <c r="L43" s="386"/>
      <c r="M43" s="416"/>
    </row>
    <row r="44" spans="1:13" ht="20.45" customHeight="1" thickBot="1">
      <c r="A44" s="417" t="s">
        <v>337</v>
      </c>
      <c r="B44" s="330" t="s">
        <v>338</v>
      </c>
      <c r="C44" s="425"/>
      <c r="D44" s="342" t="s">
        <v>294</v>
      </c>
      <c r="E44" s="343" t="s">
        <v>295</v>
      </c>
      <c r="F44" s="343" t="s">
        <v>296</v>
      </c>
      <c r="G44" s="343" t="s">
        <v>297</v>
      </c>
      <c r="H44" s="343" t="s">
        <v>298</v>
      </c>
      <c r="I44" s="343" t="s">
        <v>299</v>
      </c>
      <c r="J44" s="343" t="s">
        <v>300</v>
      </c>
      <c r="K44" s="343" t="s">
        <v>301</v>
      </c>
      <c r="L44" s="344" t="s">
        <v>302</v>
      </c>
      <c r="M44" s="350" t="s">
        <v>35</v>
      </c>
    </row>
    <row r="45" spans="1:13" ht="24.95" customHeight="1">
      <c r="A45" s="1152" t="s">
        <v>339</v>
      </c>
      <c r="B45" s="1159" t="s">
        <v>340</v>
      </c>
      <c r="C45" s="373" t="s">
        <v>29</v>
      </c>
      <c r="D45" s="366"/>
      <c r="E45" s="353">
        <v>0</v>
      </c>
      <c r="F45" s="353">
        <v>1</v>
      </c>
      <c r="G45" s="353">
        <v>1</v>
      </c>
      <c r="H45" s="353">
        <v>2</v>
      </c>
      <c r="I45" s="355"/>
      <c r="J45" s="355"/>
      <c r="K45" s="355"/>
      <c r="L45" s="405">
        <f>SUM(E45:K45)</f>
        <v>4</v>
      </c>
      <c r="M45" s="1144" t="s">
        <v>341</v>
      </c>
    </row>
    <row r="46" spans="1:13" ht="24.95" customHeight="1">
      <c r="A46" s="1153"/>
      <c r="B46" s="1169"/>
      <c r="C46" s="426" t="s">
        <v>306</v>
      </c>
      <c r="D46" s="359"/>
      <c r="E46" s="368"/>
      <c r="F46" s="368">
        <v>0</v>
      </c>
      <c r="G46" s="368"/>
      <c r="H46" s="368"/>
      <c r="I46" s="368"/>
      <c r="J46" s="368"/>
      <c r="K46" s="368"/>
      <c r="L46" s="371"/>
      <c r="M46" s="1145"/>
    </row>
    <row r="47" spans="1:13" ht="24.95" customHeight="1">
      <c r="A47" s="1153"/>
      <c r="B47" s="1169"/>
      <c r="C47" s="426" t="s">
        <v>342</v>
      </c>
      <c r="D47" s="359"/>
      <c r="E47" s="368"/>
      <c r="F47" s="368"/>
      <c r="G47" s="368"/>
      <c r="H47" s="368"/>
      <c r="I47" s="368"/>
      <c r="J47" s="368"/>
      <c r="K47" s="368"/>
      <c r="L47" s="371"/>
      <c r="M47" s="1145"/>
    </row>
    <row r="48" spans="1:13" ht="24.95" customHeight="1" thickBot="1">
      <c r="A48" s="1153"/>
      <c r="B48" s="1169"/>
      <c r="C48" s="377" t="s">
        <v>343</v>
      </c>
      <c r="D48" s="427"/>
      <c r="E48" s="428"/>
      <c r="F48" s="428"/>
      <c r="G48" s="428"/>
      <c r="H48" s="428"/>
      <c r="I48" s="428"/>
      <c r="J48" s="428"/>
      <c r="K48" s="428"/>
      <c r="L48" s="429"/>
      <c r="M48" s="1145"/>
    </row>
    <row r="49" spans="1:13" ht="37.5" customHeight="1" thickBot="1">
      <c r="A49" s="1153"/>
      <c r="B49" s="1169"/>
      <c r="C49" s="383" t="s">
        <v>307</v>
      </c>
      <c r="D49" s="1164" t="s">
        <v>344</v>
      </c>
      <c r="E49" s="1164"/>
      <c r="F49" s="1164"/>
      <c r="G49" s="1164"/>
      <c r="H49" s="1164"/>
      <c r="I49" s="1164"/>
      <c r="J49" s="1164"/>
      <c r="K49" s="1164"/>
      <c r="L49" s="1165"/>
      <c r="M49" s="1145"/>
    </row>
    <row r="50" spans="1:13" ht="27" customHeight="1" thickBot="1">
      <c r="A50" s="1153"/>
      <c r="B50" s="330" t="s">
        <v>333</v>
      </c>
      <c r="C50" s="348"/>
      <c r="D50" s="342" t="s">
        <v>294</v>
      </c>
      <c r="E50" s="343" t="s">
        <v>295</v>
      </c>
      <c r="F50" s="343" t="s">
        <v>296</v>
      </c>
      <c r="G50" s="343" t="s">
        <v>297</v>
      </c>
      <c r="H50" s="343" t="s">
        <v>298</v>
      </c>
      <c r="I50" s="343" t="s">
        <v>299</v>
      </c>
      <c r="J50" s="343" t="s">
        <v>300</v>
      </c>
      <c r="K50" s="343" t="s">
        <v>301</v>
      </c>
      <c r="L50" s="344" t="s">
        <v>302</v>
      </c>
      <c r="M50" s="1145"/>
    </row>
    <row r="51" spans="1:13" ht="30" customHeight="1">
      <c r="A51" s="1153"/>
      <c r="B51" s="1152" t="s">
        <v>334</v>
      </c>
      <c r="C51" s="373" t="s">
        <v>335</v>
      </c>
      <c r="D51" s="419"/>
      <c r="E51" s="353">
        <v>0</v>
      </c>
      <c r="F51" s="353">
        <v>3</v>
      </c>
      <c r="G51" s="353">
        <v>6</v>
      </c>
      <c r="H51" s="353">
        <v>11</v>
      </c>
      <c r="I51" s="355"/>
      <c r="J51" s="355"/>
      <c r="K51" s="355"/>
      <c r="L51" s="405">
        <v>11</v>
      </c>
      <c r="M51" s="1145"/>
    </row>
    <row r="52" spans="1:13" ht="30" customHeight="1" thickBot="1">
      <c r="A52" s="1153"/>
      <c r="B52" s="1153"/>
      <c r="C52" s="377" t="s">
        <v>31</v>
      </c>
      <c r="D52" s="430"/>
      <c r="E52" s="428"/>
      <c r="F52" s="428">
        <v>0</v>
      </c>
      <c r="G52" s="428"/>
      <c r="H52" s="428"/>
      <c r="I52" s="428"/>
      <c r="J52" s="428"/>
      <c r="K52" s="428"/>
      <c r="L52" s="429"/>
      <c r="M52" s="1145"/>
    </row>
    <row r="53" spans="1:13" ht="26.45" customHeight="1" thickBot="1">
      <c r="A53" s="1154"/>
      <c r="B53" s="1154"/>
      <c r="C53" s="383" t="s">
        <v>307</v>
      </c>
      <c r="D53" s="1163" t="s">
        <v>336</v>
      </c>
      <c r="E53" s="1164"/>
      <c r="F53" s="1164"/>
      <c r="G53" s="1164"/>
      <c r="H53" s="1164"/>
      <c r="I53" s="1164"/>
      <c r="J53" s="1164"/>
      <c r="K53" s="1164"/>
      <c r="L53" s="1165"/>
      <c r="M53" s="1145"/>
    </row>
    <row r="54" spans="1:13" ht="11.1" thickBot="1">
      <c r="A54" s="384"/>
      <c r="B54" s="384"/>
      <c r="C54" s="385"/>
      <c r="D54" s="386"/>
      <c r="E54" s="386"/>
      <c r="F54" s="386"/>
      <c r="G54" s="386"/>
      <c r="H54" s="386"/>
      <c r="I54" s="386"/>
      <c r="J54" s="386"/>
      <c r="K54" s="386"/>
      <c r="L54" s="386"/>
      <c r="M54" s="416"/>
    </row>
    <row r="55" spans="1:13" ht="21.6" thickBot="1">
      <c r="A55" s="417" t="s">
        <v>345</v>
      </c>
      <c r="B55" s="431" t="s">
        <v>346</v>
      </c>
      <c r="C55" s="425"/>
      <c r="D55" s="342" t="s">
        <v>294</v>
      </c>
      <c r="E55" s="343" t="s">
        <v>295</v>
      </c>
      <c r="F55" s="343" t="s">
        <v>296</v>
      </c>
      <c r="G55" s="343" t="s">
        <v>297</v>
      </c>
      <c r="H55" s="343" t="s">
        <v>298</v>
      </c>
      <c r="I55" s="343" t="s">
        <v>299</v>
      </c>
      <c r="J55" s="343" t="s">
        <v>300</v>
      </c>
      <c r="K55" s="343" t="s">
        <v>301</v>
      </c>
      <c r="L55" s="344" t="s">
        <v>302</v>
      </c>
      <c r="M55" s="350" t="s">
        <v>35</v>
      </c>
    </row>
    <row r="56" spans="1:13" ht="10.5">
      <c r="A56" s="1152" t="s">
        <v>347</v>
      </c>
      <c r="B56" s="1144" t="s">
        <v>348</v>
      </c>
      <c r="C56" s="402" t="s">
        <v>29</v>
      </c>
      <c r="D56" s="366"/>
      <c r="E56" s="353">
        <v>0</v>
      </c>
      <c r="F56" s="353">
        <v>1</v>
      </c>
      <c r="G56" s="353">
        <v>2</v>
      </c>
      <c r="H56" s="353">
        <v>3</v>
      </c>
      <c r="I56" s="355"/>
      <c r="J56" s="355"/>
      <c r="K56" s="355"/>
      <c r="L56" s="405">
        <f>SUM(E56:K56)</f>
        <v>6</v>
      </c>
      <c r="M56" s="1144" t="s">
        <v>349</v>
      </c>
    </row>
    <row r="57" spans="1:13" ht="22.5" customHeight="1" thickBot="1">
      <c r="A57" s="1153"/>
      <c r="B57" s="1145"/>
      <c r="C57" s="372" t="s">
        <v>31</v>
      </c>
      <c r="D57" s="427"/>
      <c r="E57" s="428"/>
      <c r="F57" s="428">
        <v>0</v>
      </c>
      <c r="G57" s="428"/>
      <c r="H57" s="428"/>
      <c r="I57" s="428"/>
      <c r="J57" s="428"/>
      <c r="K57" s="428"/>
      <c r="L57" s="429"/>
      <c r="M57" s="1145"/>
    </row>
    <row r="58" spans="1:13" ht="31.5" customHeight="1" thickBot="1">
      <c r="A58" s="1154"/>
      <c r="B58" s="1146"/>
      <c r="C58" s="432" t="s">
        <v>307</v>
      </c>
      <c r="D58" s="1163" t="s">
        <v>350</v>
      </c>
      <c r="E58" s="1164"/>
      <c r="F58" s="1164"/>
      <c r="G58" s="1164"/>
      <c r="H58" s="1164"/>
      <c r="I58" s="1164"/>
      <c r="J58" s="1164"/>
      <c r="K58" s="1164"/>
      <c r="L58" s="1165"/>
      <c r="M58" s="1146"/>
    </row>
    <row r="59" spans="1:13" ht="13.5" customHeight="1" thickBot="1"/>
    <row r="60" spans="1:13" ht="11.1" thickBot="1">
      <c r="A60" s="417" t="s">
        <v>75</v>
      </c>
      <c r="B60" s="431" t="s">
        <v>76</v>
      </c>
      <c r="C60" s="425"/>
      <c r="D60" s="342" t="s">
        <v>294</v>
      </c>
      <c r="E60" s="343" t="s">
        <v>295</v>
      </c>
      <c r="F60" s="343" t="s">
        <v>296</v>
      </c>
      <c r="G60" s="343" t="s">
        <v>297</v>
      </c>
      <c r="H60" s="343" t="s">
        <v>298</v>
      </c>
      <c r="I60" s="343" t="s">
        <v>299</v>
      </c>
      <c r="J60" s="343" t="s">
        <v>300</v>
      </c>
      <c r="K60" s="343" t="s">
        <v>301</v>
      </c>
      <c r="L60" s="344" t="s">
        <v>302</v>
      </c>
      <c r="M60" s="350" t="s">
        <v>35</v>
      </c>
    </row>
    <row r="61" spans="1:13" ht="11.45">
      <c r="A61" s="1152" t="s">
        <v>351</v>
      </c>
      <c r="B61" s="1144" t="s">
        <v>352</v>
      </c>
      <c r="C61" s="434" t="s">
        <v>29</v>
      </c>
      <c r="D61" s="435"/>
      <c r="E61" s="456">
        <v>2</v>
      </c>
      <c r="F61" s="456">
        <v>13</v>
      </c>
      <c r="G61" s="456">
        <v>24</v>
      </c>
      <c r="H61" s="456">
        <v>34</v>
      </c>
      <c r="I61" s="355"/>
      <c r="J61" s="355"/>
      <c r="K61" s="355"/>
      <c r="L61" s="405">
        <f>SUM(E61:K61)</f>
        <v>73</v>
      </c>
      <c r="M61" s="1144" t="s">
        <v>353</v>
      </c>
    </row>
    <row r="62" spans="1:13" ht="12" thickBot="1">
      <c r="A62" s="1153"/>
      <c r="B62" s="1145"/>
      <c r="C62" s="436" t="s">
        <v>31</v>
      </c>
      <c r="D62" s="437"/>
      <c r="E62" s="471">
        <v>3</v>
      </c>
      <c r="F62" s="471">
        <v>13</v>
      </c>
      <c r="G62" s="471"/>
      <c r="H62" s="471"/>
      <c r="I62" s="428"/>
      <c r="J62" s="380"/>
      <c r="K62" s="380"/>
      <c r="L62" s="381"/>
      <c r="M62" s="1145"/>
    </row>
    <row r="63" spans="1:13" ht="30" customHeight="1" thickBot="1">
      <c r="A63" s="1153"/>
      <c r="B63" s="1145"/>
      <c r="C63" s="438" t="s">
        <v>307</v>
      </c>
      <c r="D63" s="1164" t="s">
        <v>354</v>
      </c>
      <c r="E63" s="1164"/>
      <c r="F63" s="1164"/>
      <c r="G63" s="1164"/>
      <c r="H63" s="1164"/>
      <c r="I63" s="1164"/>
      <c r="J63" s="1164"/>
      <c r="K63" s="1164"/>
      <c r="L63" s="1165"/>
      <c r="M63" s="1145"/>
    </row>
    <row r="64" spans="1:13" ht="10.5" hidden="1" thickBot="1">
      <c r="A64" s="1153"/>
      <c r="B64" s="1146"/>
      <c r="C64" s="439"/>
      <c r="D64" s="440"/>
      <c r="E64" s="440"/>
      <c r="F64" s="440"/>
      <c r="G64" s="440"/>
      <c r="H64" s="440"/>
      <c r="L64" s="441"/>
      <c r="M64" s="1145"/>
    </row>
    <row r="65" spans="1:13" ht="11.1" thickBot="1">
      <c r="A65" s="1153"/>
      <c r="B65" s="431" t="s">
        <v>85</v>
      </c>
      <c r="C65" s="348"/>
      <c r="D65" s="342" t="s">
        <v>294</v>
      </c>
      <c r="E65" s="343" t="s">
        <v>295</v>
      </c>
      <c r="F65" s="343" t="s">
        <v>296</v>
      </c>
      <c r="G65" s="343" t="s">
        <v>297</v>
      </c>
      <c r="H65" s="343" t="s">
        <v>298</v>
      </c>
      <c r="I65" s="343" t="s">
        <v>299</v>
      </c>
      <c r="J65" s="343" t="s">
        <v>300</v>
      </c>
      <c r="K65" s="343" t="s">
        <v>301</v>
      </c>
      <c r="L65" s="344" t="s">
        <v>302</v>
      </c>
      <c r="M65" s="1145"/>
    </row>
    <row r="66" spans="1:13" ht="11.45">
      <c r="A66" s="1153"/>
      <c r="B66" s="1152" t="s">
        <v>355</v>
      </c>
      <c r="C66" s="402" t="s">
        <v>29</v>
      </c>
      <c r="D66" s="366"/>
      <c r="E66" s="456">
        <v>1</v>
      </c>
      <c r="F66" s="456">
        <v>6</v>
      </c>
      <c r="G66" s="456">
        <v>12</v>
      </c>
      <c r="H66" s="456">
        <v>17</v>
      </c>
      <c r="I66" s="355"/>
      <c r="J66" s="355"/>
      <c r="K66" s="355"/>
      <c r="L66" s="405">
        <f>SUM(E66:K66)</f>
        <v>36</v>
      </c>
      <c r="M66" s="1145"/>
    </row>
    <row r="67" spans="1:13" ht="12" thickBot="1">
      <c r="A67" s="1153"/>
      <c r="B67" s="1153"/>
      <c r="C67" s="372" t="s">
        <v>31</v>
      </c>
      <c r="D67" s="442"/>
      <c r="E67" s="471">
        <v>3</v>
      </c>
      <c r="F67" s="471">
        <v>10</v>
      </c>
      <c r="G67" s="471"/>
      <c r="H67" s="471"/>
      <c r="I67" s="428"/>
      <c r="J67" s="428"/>
      <c r="K67" s="428"/>
      <c r="L67" s="429"/>
      <c r="M67" s="1145"/>
    </row>
    <row r="68" spans="1:13" ht="33" customHeight="1" thickBot="1">
      <c r="A68" s="1153"/>
      <c r="B68" s="1153"/>
      <c r="C68" s="383" t="s">
        <v>307</v>
      </c>
      <c r="D68" s="1164" t="s">
        <v>356</v>
      </c>
      <c r="E68" s="1164"/>
      <c r="F68" s="1164"/>
      <c r="G68" s="1164"/>
      <c r="H68" s="1164"/>
      <c r="I68" s="1164"/>
      <c r="J68" s="1164"/>
      <c r="K68" s="1164"/>
      <c r="L68" s="1165"/>
      <c r="M68" s="1145"/>
    </row>
    <row r="69" spans="1:13" ht="11.25" customHeight="1" thickBot="1">
      <c r="A69" s="1153"/>
      <c r="B69" s="363"/>
      <c r="C69" s="439"/>
      <c r="D69" s="440"/>
      <c r="E69" s="440"/>
      <c r="F69" s="440"/>
      <c r="G69" s="440"/>
      <c r="H69" s="440"/>
      <c r="L69" s="441"/>
      <c r="M69" s="1145"/>
    </row>
    <row r="70" spans="1:13" ht="11.1" thickBot="1">
      <c r="A70" s="1153"/>
      <c r="B70" s="431" t="s">
        <v>89</v>
      </c>
      <c r="C70" s="348"/>
      <c r="D70" s="342" t="s">
        <v>294</v>
      </c>
      <c r="E70" s="343" t="s">
        <v>295</v>
      </c>
      <c r="F70" s="343" t="s">
        <v>296</v>
      </c>
      <c r="G70" s="343" t="s">
        <v>297</v>
      </c>
      <c r="H70" s="343" t="s">
        <v>298</v>
      </c>
      <c r="I70" s="343" t="s">
        <v>299</v>
      </c>
      <c r="J70" s="343" t="s">
        <v>300</v>
      </c>
      <c r="K70" s="343" t="s">
        <v>301</v>
      </c>
      <c r="L70" s="344" t="s">
        <v>302</v>
      </c>
      <c r="M70" s="1145"/>
    </row>
    <row r="71" spans="1:13" ht="11.45">
      <c r="A71" s="1153"/>
      <c r="B71" s="1152" t="s">
        <v>357</v>
      </c>
      <c r="C71" s="402" t="s">
        <v>29</v>
      </c>
      <c r="D71" s="419"/>
      <c r="E71" s="456">
        <v>2</v>
      </c>
      <c r="F71" s="456">
        <v>13</v>
      </c>
      <c r="G71" s="456">
        <v>24</v>
      </c>
      <c r="H71" s="456">
        <v>34</v>
      </c>
      <c r="I71" s="355"/>
      <c r="J71" s="355"/>
      <c r="K71" s="355"/>
      <c r="L71" s="405">
        <f>SUM(E71:K71)</f>
        <v>73</v>
      </c>
      <c r="M71" s="1145"/>
    </row>
    <row r="72" spans="1:13" ht="12" thickBot="1">
      <c r="A72" s="1153"/>
      <c r="B72" s="1153"/>
      <c r="C72" s="372" t="s">
        <v>31</v>
      </c>
      <c r="D72" s="430"/>
      <c r="E72" s="471">
        <v>3</v>
      </c>
      <c r="F72" s="471">
        <v>13</v>
      </c>
      <c r="G72" s="471"/>
      <c r="H72" s="471"/>
      <c r="I72" s="428"/>
      <c r="J72" s="428"/>
      <c r="K72" s="428"/>
      <c r="L72" s="429"/>
      <c r="M72" s="1145"/>
    </row>
    <row r="73" spans="1:13" ht="47.45" customHeight="1" thickBot="1">
      <c r="A73" s="1154"/>
      <c r="B73" s="1154"/>
      <c r="C73" s="364" t="s">
        <v>307</v>
      </c>
      <c r="D73" s="1156" t="s">
        <v>358</v>
      </c>
      <c r="E73" s="1157"/>
      <c r="F73" s="1157"/>
      <c r="G73" s="1157"/>
      <c r="H73" s="1157"/>
      <c r="I73" s="1157"/>
      <c r="J73" s="1157"/>
      <c r="K73" s="1157"/>
      <c r="L73" s="1158"/>
      <c r="M73" s="1146"/>
    </row>
    <row r="74" spans="1:13" ht="11.1" thickBot="1">
      <c r="A74" s="384"/>
      <c r="B74" s="384"/>
      <c r="C74" s="385"/>
      <c r="D74" s="386"/>
      <c r="E74" s="386"/>
      <c r="F74" s="386"/>
      <c r="G74" s="386"/>
      <c r="H74" s="386"/>
      <c r="I74" s="386"/>
      <c r="J74" s="386"/>
      <c r="K74" s="386"/>
      <c r="L74" s="386"/>
      <c r="M74" s="384"/>
    </row>
    <row r="75" spans="1:13" ht="11.1" thickBot="1">
      <c r="A75" s="417" t="s">
        <v>101</v>
      </c>
      <c r="B75" s="431" t="s">
        <v>359</v>
      </c>
      <c r="C75" s="425"/>
      <c r="D75" s="443" t="s">
        <v>294</v>
      </c>
      <c r="E75" s="343" t="s">
        <v>295</v>
      </c>
      <c r="F75" s="343" t="s">
        <v>296</v>
      </c>
      <c r="G75" s="343" t="s">
        <v>297</v>
      </c>
      <c r="H75" s="343" t="s">
        <v>298</v>
      </c>
      <c r="I75" s="343" t="s">
        <v>299</v>
      </c>
      <c r="J75" s="343" t="s">
        <v>300</v>
      </c>
      <c r="K75" s="343" t="s">
        <v>301</v>
      </c>
      <c r="L75" s="344" t="s">
        <v>302</v>
      </c>
      <c r="M75" s="350" t="s">
        <v>35</v>
      </c>
    </row>
    <row r="76" spans="1:13" ht="24" customHeight="1">
      <c r="A76" s="1152" t="s">
        <v>360</v>
      </c>
      <c r="B76" s="1144" t="s">
        <v>361</v>
      </c>
      <c r="C76" s="434" t="s">
        <v>29</v>
      </c>
      <c r="D76" s="435"/>
      <c r="E76" s="456">
        <v>0</v>
      </c>
      <c r="F76" s="456">
        <v>1</v>
      </c>
      <c r="G76" s="456">
        <v>3</v>
      </c>
      <c r="H76" s="456">
        <v>6</v>
      </c>
      <c r="I76" s="355"/>
      <c r="J76" s="355"/>
      <c r="K76" s="355"/>
      <c r="L76" s="405">
        <f>SUM(E76:K76)</f>
        <v>10</v>
      </c>
      <c r="M76" s="1155" t="s">
        <v>362</v>
      </c>
    </row>
    <row r="77" spans="1:13" ht="24" customHeight="1">
      <c r="A77" s="1153"/>
      <c r="B77" s="1145"/>
      <c r="C77" s="444" t="s">
        <v>31</v>
      </c>
      <c r="D77" s="445"/>
      <c r="E77" s="474">
        <v>0</v>
      </c>
      <c r="F77" s="474">
        <v>1</v>
      </c>
      <c r="G77" s="474"/>
      <c r="H77" s="474"/>
      <c r="I77" s="368"/>
      <c r="J77" s="368"/>
      <c r="K77" s="368"/>
      <c r="L77" s="371"/>
      <c r="M77" s="1145"/>
    </row>
    <row r="78" spans="1:13" ht="54" customHeight="1" thickBot="1">
      <c r="A78" s="1154"/>
      <c r="B78" s="1146"/>
      <c r="C78" s="446" t="s">
        <v>307</v>
      </c>
      <c r="D78" s="1156" t="s">
        <v>363</v>
      </c>
      <c r="E78" s="1157"/>
      <c r="F78" s="1157"/>
      <c r="G78" s="1157"/>
      <c r="H78" s="1157"/>
      <c r="I78" s="1157"/>
      <c r="J78" s="1157"/>
      <c r="K78" s="1157"/>
      <c r="L78" s="1158"/>
      <c r="M78" s="1146"/>
    </row>
    <row r="79" spans="1:13" ht="11.1" thickBot="1">
      <c r="A79" s="384"/>
      <c r="B79" s="384"/>
      <c r="C79" s="385"/>
      <c r="D79" s="386"/>
      <c r="E79" s="386"/>
      <c r="F79" s="386"/>
      <c r="G79" s="386"/>
      <c r="H79" s="386"/>
      <c r="I79" s="386"/>
      <c r="J79" s="386"/>
      <c r="K79" s="386"/>
      <c r="L79" s="386"/>
      <c r="M79" s="384"/>
    </row>
    <row r="80" spans="1:13" ht="11.1" thickBot="1">
      <c r="A80" s="417" t="s">
        <v>125</v>
      </c>
      <c r="B80" s="431" t="s">
        <v>126</v>
      </c>
      <c r="C80" s="425"/>
      <c r="D80" s="342" t="s">
        <v>294</v>
      </c>
      <c r="E80" s="343" t="s">
        <v>295</v>
      </c>
      <c r="F80" s="343" t="s">
        <v>296</v>
      </c>
      <c r="G80" s="343" t="s">
        <v>297</v>
      </c>
      <c r="H80" s="343" t="s">
        <v>298</v>
      </c>
      <c r="I80" s="343" t="s">
        <v>299</v>
      </c>
      <c r="J80" s="343" t="s">
        <v>300</v>
      </c>
      <c r="K80" s="343" t="s">
        <v>301</v>
      </c>
      <c r="L80" s="344" t="s">
        <v>302</v>
      </c>
      <c r="M80" s="350" t="s">
        <v>35</v>
      </c>
    </row>
    <row r="81" spans="1:13" ht="30" customHeight="1">
      <c r="A81" s="1159" t="s">
        <v>364</v>
      </c>
      <c r="B81" s="1144" t="s">
        <v>365</v>
      </c>
      <c r="C81" s="402" t="s">
        <v>29</v>
      </c>
      <c r="D81" s="419"/>
      <c r="E81" s="435">
        <v>0</v>
      </c>
      <c r="F81" s="435">
        <v>6</v>
      </c>
      <c r="G81" s="435">
        <v>12</v>
      </c>
      <c r="H81" s="435">
        <v>23</v>
      </c>
      <c r="I81" s="355"/>
      <c r="J81" s="355"/>
      <c r="K81" s="355"/>
      <c r="L81" s="405">
        <f>SUM(E81:K81)</f>
        <v>41</v>
      </c>
      <c r="M81" s="1144" t="s">
        <v>366</v>
      </c>
    </row>
    <row r="82" spans="1:13" ht="30" customHeight="1">
      <c r="A82" s="1160"/>
      <c r="B82" s="1145"/>
      <c r="C82" s="406" t="s">
        <v>31</v>
      </c>
      <c r="D82" s="420"/>
      <c r="E82" s="407">
        <v>2</v>
      </c>
      <c r="F82" s="407">
        <v>3</v>
      </c>
      <c r="G82" s="407"/>
      <c r="H82" s="407"/>
      <c r="I82" s="407"/>
      <c r="J82" s="407"/>
      <c r="K82" s="407"/>
      <c r="L82" s="408"/>
      <c r="M82" s="1145"/>
    </row>
    <row r="83" spans="1:13" ht="44.45" customHeight="1" thickBot="1">
      <c r="A83" s="1160"/>
      <c r="B83" s="1146"/>
      <c r="C83" s="409" t="s">
        <v>307</v>
      </c>
      <c r="D83" s="1162" t="s">
        <v>367</v>
      </c>
      <c r="E83" s="1157"/>
      <c r="F83" s="1157"/>
      <c r="G83" s="1157"/>
      <c r="H83" s="1157"/>
      <c r="I83" s="1157"/>
      <c r="J83" s="1157"/>
      <c r="K83" s="1157"/>
      <c r="L83" s="1158"/>
      <c r="M83" s="1145"/>
    </row>
    <row r="84" spans="1:13" ht="11.1" thickBot="1">
      <c r="A84" s="1160"/>
      <c r="B84" s="431" t="s">
        <v>131</v>
      </c>
      <c r="C84" s="447"/>
      <c r="D84" s="342" t="s">
        <v>294</v>
      </c>
      <c r="E84" s="343" t="s">
        <v>295</v>
      </c>
      <c r="F84" s="343" t="s">
        <v>296</v>
      </c>
      <c r="G84" s="343" t="s">
        <v>297</v>
      </c>
      <c r="H84" s="343" t="s">
        <v>298</v>
      </c>
      <c r="I84" s="343" t="s">
        <v>299</v>
      </c>
      <c r="J84" s="343" t="s">
        <v>300</v>
      </c>
      <c r="K84" s="343" t="s">
        <v>301</v>
      </c>
      <c r="L84" s="344" t="s">
        <v>302</v>
      </c>
      <c r="M84" s="1145"/>
    </row>
    <row r="85" spans="1:13" ht="27.95" customHeight="1">
      <c r="A85" s="1160"/>
      <c r="B85" s="1145" t="s">
        <v>368</v>
      </c>
      <c r="C85" s="406" t="s">
        <v>29</v>
      </c>
      <c r="D85" s="366"/>
      <c r="E85" s="353">
        <v>0</v>
      </c>
      <c r="F85" s="353">
        <v>1</v>
      </c>
      <c r="G85" s="353">
        <v>2</v>
      </c>
      <c r="H85" s="353">
        <v>4</v>
      </c>
      <c r="I85" s="355"/>
      <c r="J85" s="355"/>
      <c r="K85" s="355"/>
      <c r="L85" s="405">
        <f>SUM(E85:K85)</f>
        <v>7</v>
      </c>
      <c r="M85" s="1145"/>
    </row>
    <row r="86" spans="1:13" ht="27.95" customHeight="1">
      <c r="A86" s="1160"/>
      <c r="B86" s="1145"/>
      <c r="C86" s="406" t="s">
        <v>31</v>
      </c>
      <c r="D86" s="359"/>
      <c r="E86" s="368">
        <v>0</v>
      </c>
      <c r="F86" s="368">
        <v>3</v>
      </c>
      <c r="G86" s="368"/>
      <c r="H86" s="368"/>
      <c r="I86" s="368"/>
      <c r="J86" s="368"/>
      <c r="K86" s="368"/>
      <c r="L86" s="371"/>
      <c r="M86" s="1145"/>
    </row>
    <row r="87" spans="1:13" ht="45" customHeight="1" thickBot="1">
      <c r="A87" s="1161"/>
      <c r="B87" s="1146"/>
      <c r="C87" s="409" t="s">
        <v>307</v>
      </c>
      <c r="D87" s="1147" t="s">
        <v>369</v>
      </c>
      <c r="E87" s="1148"/>
      <c r="F87" s="1148"/>
      <c r="G87" s="1148"/>
      <c r="H87" s="1148"/>
      <c r="I87" s="1148"/>
      <c r="J87" s="1148"/>
      <c r="K87" s="1148"/>
      <c r="L87" s="1149"/>
      <c r="M87" s="1146"/>
    </row>
    <row r="88" spans="1:13" ht="11.1" thickBot="1">
      <c r="A88" s="384"/>
      <c r="B88" s="384"/>
      <c r="C88" s="385"/>
      <c r="D88" s="386"/>
      <c r="E88" s="386"/>
      <c r="F88" s="386"/>
      <c r="G88" s="386"/>
      <c r="H88" s="386"/>
      <c r="I88" s="386"/>
      <c r="J88" s="386"/>
      <c r="K88" s="386"/>
      <c r="L88" s="386"/>
      <c r="M88" s="384"/>
    </row>
    <row r="89" spans="1:13" ht="11.1" thickBot="1">
      <c r="A89" s="417" t="s">
        <v>152</v>
      </c>
      <c r="B89" s="431" t="s">
        <v>153</v>
      </c>
      <c r="C89" s="425"/>
      <c r="D89" s="342" t="s">
        <v>294</v>
      </c>
      <c r="E89" s="343" t="s">
        <v>295</v>
      </c>
      <c r="F89" s="343" t="s">
        <v>296</v>
      </c>
      <c r="G89" s="343" t="s">
        <v>297</v>
      </c>
      <c r="H89" s="343" t="s">
        <v>298</v>
      </c>
      <c r="I89" s="343" t="s">
        <v>299</v>
      </c>
      <c r="J89" s="343" t="s">
        <v>300</v>
      </c>
      <c r="K89" s="343" t="s">
        <v>301</v>
      </c>
      <c r="L89" s="344" t="s">
        <v>302</v>
      </c>
      <c r="M89" s="350" t="s">
        <v>35</v>
      </c>
    </row>
    <row r="90" spans="1:13" ht="30" customHeight="1">
      <c r="A90" s="351" t="s">
        <v>370</v>
      </c>
      <c r="B90" s="1144" t="s">
        <v>371</v>
      </c>
      <c r="C90" s="402" t="s">
        <v>29</v>
      </c>
      <c r="D90" s="366"/>
      <c r="E90" s="353">
        <v>0</v>
      </c>
      <c r="F90" s="353">
        <v>2</v>
      </c>
      <c r="G90" s="353">
        <v>4</v>
      </c>
      <c r="H90" s="353">
        <v>6</v>
      </c>
      <c r="I90" s="355" t="s">
        <v>281</v>
      </c>
      <c r="J90" s="355"/>
      <c r="K90" s="355"/>
      <c r="L90" s="405">
        <f>SUM(E90:K90)</f>
        <v>12</v>
      </c>
      <c r="M90" s="1144" t="s">
        <v>372</v>
      </c>
    </row>
    <row r="91" spans="1:13" ht="30" customHeight="1">
      <c r="A91" s="357"/>
      <c r="B91" s="1145"/>
      <c r="C91" s="406" t="s">
        <v>31</v>
      </c>
      <c r="D91" s="359"/>
      <c r="E91" s="368">
        <v>0</v>
      </c>
      <c r="F91" s="368">
        <v>3</v>
      </c>
      <c r="G91" s="368"/>
      <c r="H91" s="368"/>
      <c r="I91" s="368"/>
      <c r="J91" s="368"/>
      <c r="K91" s="368"/>
      <c r="L91" s="371"/>
      <c r="M91" s="1145"/>
    </row>
    <row r="92" spans="1:13" ht="33" customHeight="1" thickBot="1">
      <c r="A92" s="382"/>
      <c r="B92" s="1146"/>
      <c r="C92" s="409" t="s">
        <v>307</v>
      </c>
      <c r="D92" s="1147" t="s">
        <v>373</v>
      </c>
      <c r="E92" s="1148"/>
      <c r="F92" s="1148"/>
      <c r="G92" s="1148"/>
      <c r="H92" s="1148"/>
      <c r="I92" s="1148"/>
      <c r="J92" s="1148"/>
      <c r="K92" s="1148"/>
      <c r="L92" s="1149"/>
      <c r="M92" s="1146"/>
    </row>
    <row r="93" spans="1:13" ht="10.5">
      <c r="A93" s="384"/>
      <c r="B93" s="384"/>
      <c r="C93" s="385"/>
      <c r="D93" s="386"/>
      <c r="E93" s="386"/>
      <c r="F93" s="386"/>
      <c r="G93" s="386"/>
      <c r="H93" s="386"/>
      <c r="I93" s="386"/>
      <c r="J93" s="386"/>
      <c r="K93" s="386"/>
      <c r="L93" s="386"/>
      <c r="M93" s="384"/>
    </row>
    <row r="94" spans="1:13" ht="20.25" customHeight="1">
      <c r="A94" s="448"/>
    </row>
    <row r="95" spans="1:13" ht="66.95" customHeight="1">
      <c r="A95" s="1150"/>
      <c r="B95" s="1151"/>
      <c r="C95" s="1151"/>
      <c r="D95" s="1151"/>
      <c r="E95" s="1151"/>
      <c r="F95" s="1151"/>
      <c r="G95" s="1151"/>
    </row>
    <row r="96" spans="1:13" ht="44.45" customHeight="1">
      <c r="A96" s="1150"/>
      <c r="B96" s="1151"/>
      <c r="C96" s="1151"/>
      <c r="D96" s="1151"/>
      <c r="E96" s="1151"/>
      <c r="F96" s="1151"/>
      <c r="G96" s="1151"/>
    </row>
    <row r="97" spans="1:9" ht="53.25" customHeight="1">
      <c r="A97" s="1142"/>
      <c r="B97" s="1143"/>
      <c r="C97" s="1143"/>
      <c r="D97" s="1143"/>
      <c r="E97" s="1143"/>
      <c r="F97" s="1143"/>
      <c r="G97" s="1143"/>
      <c r="H97" s="334"/>
      <c r="I97" s="334"/>
    </row>
    <row r="98" spans="1:9" ht="26.25" customHeight="1">
      <c r="A98" s="1142"/>
      <c r="B98" s="1143"/>
      <c r="C98" s="1143"/>
      <c r="D98" s="1143"/>
      <c r="E98" s="1143"/>
      <c r="F98" s="1143"/>
      <c r="G98" s="1143"/>
      <c r="H98" s="334"/>
      <c r="I98" s="334"/>
    </row>
    <row r="99" spans="1:9" ht="36" customHeight="1">
      <c r="A99" s="1142"/>
      <c r="B99" s="1143"/>
      <c r="C99" s="1143"/>
      <c r="D99" s="1143"/>
      <c r="E99" s="1143"/>
      <c r="F99" s="1143"/>
      <c r="G99" s="1143"/>
      <c r="H99" s="334"/>
      <c r="I99" s="334"/>
    </row>
    <row r="100" spans="1:9" ht="45" customHeight="1">
      <c r="A100" s="1142"/>
      <c r="B100" s="1143"/>
      <c r="C100" s="1143"/>
      <c r="D100" s="1143"/>
      <c r="E100" s="1143"/>
      <c r="F100" s="1143"/>
      <c r="G100" s="1143"/>
      <c r="H100" s="334"/>
      <c r="I100" s="334"/>
    </row>
    <row r="101" spans="1:9" ht="42.6" customHeight="1">
      <c r="A101" s="1142"/>
      <c r="B101" s="1143"/>
      <c r="C101" s="1143"/>
      <c r="D101" s="1143"/>
      <c r="E101" s="1143"/>
      <c r="F101" s="1143"/>
      <c r="G101" s="1143"/>
      <c r="H101" s="334"/>
      <c r="I101" s="334"/>
    </row>
  </sheetData>
  <mergeCells count="63">
    <mergeCell ref="K1:M1"/>
    <mergeCell ref="A2:B2"/>
    <mergeCell ref="C2:D2"/>
    <mergeCell ref="A5:A18"/>
    <mergeCell ref="B5:B7"/>
    <mergeCell ref="M5:M18"/>
    <mergeCell ref="D7:L7"/>
    <mergeCell ref="B9:B14"/>
    <mergeCell ref="D14:L14"/>
    <mergeCell ref="B16:B18"/>
    <mergeCell ref="D18:L18"/>
    <mergeCell ref="A21:A33"/>
    <mergeCell ref="B21:B24"/>
    <mergeCell ref="M21:M33"/>
    <mergeCell ref="D23:L23"/>
    <mergeCell ref="B26:B29"/>
    <mergeCell ref="D28:L28"/>
    <mergeCell ref="B31:B33"/>
    <mergeCell ref="D33:L33"/>
    <mergeCell ref="A36:A38"/>
    <mergeCell ref="B36:B38"/>
    <mergeCell ref="M36:M38"/>
    <mergeCell ref="D38:H38"/>
    <mergeCell ref="A45:A53"/>
    <mergeCell ref="B45:B49"/>
    <mergeCell ref="M45:M53"/>
    <mergeCell ref="D49:L49"/>
    <mergeCell ref="B51:B53"/>
    <mergeCell ref="D53:L53"/>
    <mergeCell ref="B40:B42"/>
    <mergeCell ref="D42:L42"/>
    <mergeCell ref="A56:A58"/>
    <mergeCell ref="B56:B58"/>
    <mergeCell ref="M56:M58"/>
    <mergeCell ref="D58:L58"/>
    <mergeCell ref="A61:A73"/>
    <mergeCell ref="B61:B64"/>
    <mergeCell ref="M61:M73"/>
    <mergeCell ref="D63:L63"/>
    <mergeCell ref="B66:B68"/>
    <mergeCell ref="D68:L68"/>
    <mergeCell ref="D73:L73"/>
    <mergeCell ref="B71:B73"/>
    <mergeCell ref="A76:A78"/>
    <mergeCell ref="B76:B78"/>
    <mergeCell ref="M76:M78"/>
    <mergeCell ref="D78:L78"/>
    <mergeCell ref="A81:A87"/>
    <mergeCell ref="B81:B83"/>
    <mergeCell ref="M81:M87"/>
    <mergeCell ref="D83:L83"/>
    <mergeCell ref="B85:B87"/>
    <mergeCell ref="D87:L87"/>
    <mergeCell ref="M90:M92"/>
    <mergeCell ref="D92:L92"/>
    <mergeCell ref="A95:G95"/>
    <mergeCell ref="A96:G96"/>
    <mergeCell ref="A97:G97"/>
    <mergeCell ref="A98:G98"/>
    <mergeCell ref="A99:G99"/>
    <mergeCell ref="A100:G100"/>
    <mergeCell ref="A101:G101"/>
    <mergeCell ref="B90:B92"/>
  </mergeCells>
  <pageMargins left="0.74803149606299213" right="0.74803149606299213" top="0.98425196850393704" bottom="0.98425196850393704" header="0.51181102362204722" footer="0.51181102362204722"/>
  <pageSetup paperSize="8" scale="63" fitToHeight="0" orientation="landscape" r:id="rId1"/>
  <headerFooter alignWithMargins="0">
    <oddHeader>&amp;C&amp;"Calibri"&amp;10&amp;K000000 OFFICIAL&amp;1#_x000D_</oddHeader>
    <oddFooter>&amp;LUpdated January 2011&amp;C_x000D_&amp;1#&amp;"Calibri"&amp;10&amp;K000000 OFFICIAL</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456EF-DA7D-434C-A458-B87397706902}">
  <sheetPr>
    <pageSetUpPr fitToPage="1"/>
  </sheetPr>
  <dimension ref="A1:H87"/>
  <sheetViews>
    <sheetView topLeftCell="A2" zoomScale="108" zoomScaleNormal="108" workbookViewId="0">
      <selection activeCell="A2" sqref="A2"/>
    </sheetView>
  </sheetViews>
  <sheetFormatPr defaultColWidth="8.7109375" defaultRowHeight="12.6"/>
  <cols>
    <col min="1" max="1" width="36.42578125" style="526" customWidth="1"/>
    <col min="2" max="2" width="42.5703125" style="526" customWidth="1"/>
    <col min="3" max="7" width="20.7109375" style="526" customWidth="1"/>
    <col min="8" max="8" width="30.7109375" style="526" customWidth="1"/>
    <col min="9" max="16384" width="8.7109375" style="526"/>
  </cols>
  <sheetData>
    <row r="1" spans="1:8" ht="20.25" customHeight="1" thickBot="1">
      <c r="A1" s="522" t="s">
        <v>374</v>
      </c>
      <c r="B1" s="523"/>
      <c r="C1" s="524"/>
      <c r="D1" s="524"/>
      <c r="E1" s="524"/>
      <c r="F1" s="524"/>
      <c r="G1" s="524"/>
      <c r="H1" s="525"/>
    </row>
    <row r="2" spans="1:8" ht="17.25" customHeight="1" thickBot="1">
      <c r="A2" s="527" t="s">
        <v>375</v>
      </c>
      <c r="B2" s="528"/>
      <c r="C2" s="528"/>
      <c r="D2" s="528"/>
      <c r="E2" s="528"/>
      <c r="F2" s="528"/>
      <c r="G2" s="528"/>
      <c r="H2" s="529"/>
    </row>
    <row r="3" spans="1:8" ht="12.95" thickBot="1">
      <c r="A3" s="530" t="s">
        <v>2</v>
      </c>
      <c r="B3" s="531" t="s">
        <v>3</v>
      </c>
      <c r="C3" s="531"/>
      <c r="D3" s="532" t="s">
        <v>294</v>
      </c>
      <c r="E3" s="532" t="s">
        <v>376</v>
      </c>
      <c r="F3" s="532" t="s">
        <v>377</v>
      </c>
      <c r="G3" s="532" t="s">
        <v>378</v>
      </c>
      <c r="H3" s="1194"/>
    </row>
    <row r="4" spans="1:8" ht="35.1" thickBot="1">
      <c r="A4" s="533" t="s">
        <v>379</v>
      </c>
      <c r="B4" s="533" t="s">
        <v>380</v>
      </c>
      <c r="C4" s="534" t="s">
        <v>29</v>
      </c>
      <c r="D4" s="535"/>
      <c r="E4" s="535"/>
      <c r="F4" s="535"/>
      <c r="G4" s="535"/>
      <c r="H4" s="1195"/>
    </row>
    <row r="5" spans="1:8" ht="12.95" thickBot="1">
      <c r="A5" s="536"/>
      <c r="B5" s="536"/>
      <c r="C5" s="537" t="s">
        <v>31</v>
      </c>
      <c r="D5" s="538"/>
      <c r="E5" s="539"/>
      <c r="F5" s="539"/>
      <c r="G5" s="539"/>
      <c r="H5" s="1195"/>
    </row>
    <row r="6" spans="1:8" ht="12.95" thickBot="1">
      <c r="A6" s="536"/>
      <c r="B6" s="536"/>
      <c r="C6" s="540"/>
      <c r="D6" s="1197" t="s">
        <v>18</v>
      </c>
      <c r="E6" s="1198"/>
      <c r="F6" s="1198"/>
      <c r="G6" s="1199"/>
      <c r="H6" s="1195"/>
    </row>
    <row r="7" spans="1:8" ht="12.95" thickBot="1">
      <c r="A7" s="536"/>
      <c r="B7" s="541"/>
      <c r="C7" s="542"/>
      <c r="D7" s="1200"/>
      <c r="E7" s="1201"/>
      <c r="F7" s="1201"/>
      <c r="G7" s="1202"/>
      <c r="H7" s="1195"/>
    </row>
    <row r="8" spans="1:8" ht="12.95" thickBot="1">
      <c r="A8" s="536"/>
      <c r="B8" s="531" t="s">
        <v>20</v>
      </c>
      <c r="C8" s="531"/>
      <c r="D8" s="532" t="s">
        <v>294</v>
      </c>
      <c r="E8" s="532" t="s">
        <v>376</v>
      </c>
      <c r="F8" s="532" t="s">
        <v>377</v>
      </c>
      <c r="G8" s="532" t="s">
        <v>378</v>
      </c>
      <c r="H8" s="1195"/>
    </row>
    <row r="9" spans="1:8" ht="46.5" thickBot="1">
      <c r="A9" s="536"/>
      <c r="B9" s="533" t="s">
        <v>381</v>
      </c>
      <c r="C9" s="534" t="s">
        <v>29</v>
      </c>
      <c r="D9" s="535"/>
      <c r="E9" s="535"/>
      <c r="F9" s="535"/>
      <c r="G9" s="535"/>
      <c r="H9" s="1195"/>
    </row>
    <row r="10" spans="1:8" ht="12.95" thickBot="1">
      <c r="A10" s="536"/>
      <c r="B10" s="536"/>
      <c r="C10" s="537" t="s">
        <v>31</v>
      </c>
      <c r="D10" s="538"/>
      <c r="E10" s="539"/>
      <c r="F10" s="539"/>
      <c r="G10" s="539"/>
      <c r="H10" s="1195"/>
    </row>
    <row r="11" spans="1:8" ht="12.95" thickBot="1">
      <c r="A11" s="536"/>
      <c r="B11" s="536"/>
      <c r="C11" s="540"/>
      <c r="D11" s="1197" t="s">
        <v>18</v>
      </c>
      <c r="E11" s="1198"/>
      <c r="F11" s="1198"/>
      <c r="G11" s="1199"/>
      <c r="H11" s="1195"/>
    </row>
    <row r="12" spans="1:8" ht="12.95" thickBot="1">
      <c r="A12" s="541"/>
      <c r="B12" s="541"/>
      <c r="C12" s="542"/>
      <c r="D12" s="1200"/>
      <c r="E12" s="1201"/>
      <c r="F12" s="1201"/>
      <c r="G12" s="1202"/>
      <c r="H12" s="1196"/>
    </row>
    <row r="13" spans="1:8">
      <c r="A13" s="544"/>
      <c r="B13" s="544"/>
      <c r="C13" s="544"/>
      <c r="D13" s="544"/>
      <c r="E13" s="544"/>
      <c r="F13" s="544"/>
      <c r="G13" s="544"/>
      <c r="H13" s="544"/>
    </row>
    <row r="14" spans="1:8" ht="12.95" thickBot="1">
      <c r="A14" s="544"/>
      <c r="B14" s="544"/>
      <c r="C14" s="544"/>
      <c r="D14" s="544"/>
      <c r="E14" s="544"/>
      <c r="F14" s="544"/>
      <c r="G14" s="544"/>
      <c r="H14" s="544"/>
    </row>
    <row r="15" spans="1:8" ht="12.95" thickBot="1">
      <c r="A15" s="545" t="s">
        <v>33</v>
      </c>
      <c r="B15" s="546" t="s">
        <v>34</v>
      </c>
      <c r="C15" s="546"/>
      <c r="D15" s="547" t="s">
        <v>294</v>
      </c>
      <c r="E15" s="547" t="s">
        <v>376</v>
      </c>
      <c r="F15" s="547" t="s">
        <v>377</v>
      </c>
      <c r="G15" s="547" t="s">
        <v>378</v>
      </c>
      <c r="H15" s="548" t="s">
        <v>35</v>
      </c>
    </row>
    <row r="16" spans="1:8" ht="35.1" thickBot="1">
      <c r="A16" s="533" t="s">
        <v>382</v>
      </c>
      <c r="B16" s="533" t="s">
        <v>383</v>
      </c>
      <c r="C16" s="534" t="s">
        <v>29</v>
      </c>
      <c r="D16" s="535"/>
      <c r="E16" s="535"/>
      <c r="F16" s="535"/>
      <c r="G16" s="535"/>
      <c r="H16" s="1211"/>
    </row>
    <row r="17" spans="1:8" ht="12.95" thickBot="1">
      <c r="A17" s="536"/>
      <c r="C17" s="537" t="s">
        <v>31</v>
      </c>
      <c r="D17" s="538"/>
      <c r="E17" s="539"/>
      <c r="F17" s="539"/>
      <c r="G17" s="539"/>
      <c r="H17" s="1212"/>
    </row>
    <row r="18" spans="1:8" ht="12.95" thickBot="1">
      <c r="A18" s="536"/>
      <c r="B18" s="536"/>
      <c r="C18" s="540"/>
      <c r="D18" s="1197" t="s">
        <v>18</v>
      </c>
      <c r="E18" s="1198"/>
      <c r="F18" s="1198"/>
      <c r="G18" s="1199"/>
      <c r="H18" s="1212"/>
    </row>
    <row r="19" spans="1:8" ht="12.95" thickBot="1">
      <c r="A19" s="536"/>
      <c r="B19" s="541"/>
      <c r="C19" s="542"/>
      <c r="D19" s="1200"/>
      <c r="E19" s="1202"/>
      <c r="F19" s="1200"/>
      <c r="G19" s="1202"/>
      <c r="H19" s="1212"/>
    </row>
    <row r="20" spans="1:8" ht="12.95" thickBot="1">
      <c r="A20" s="536"/>
      <c r="B20" s="531" t="s">
        <v>43</v>
      </c>
      <c r="C20" s="531"/>
      <c r="D20" s="532" t="s">
        <v>294</v>
      </c>
      <c r="E20" s="532" t="s">
        <v>376</v>
      </c>
      <c r="F20" s="532" t="s">
        <v>377</v>
      </c>
      <c r="G20" s="532" t="s">
        <v>378</v>
      </c>
      <c r="H20" s="1212"/>
    </row>
    <row r="21" spans="1:8" ht="46.5" thickBot="1">
      <c r="A21" s="536"/>
      <c r="B21" s="533" t="s">
        <v>384</v>
      </c>
      <c r="C21" s="534" t="s">
        <v>29</v>
      </c>
      <c r="D21" s="535"/>
      <c r="E21" s="535"/>
      <c r="F21" s="535"/>
      <c r="G21" s="535"/>
      <c r="H21" s="1212"/>
    </row>
    <row r="22" spans="1:8" ht="12.95" thickBot="1">
      <c r="A22" s="536"/>
      <c r="B22" s="536"/>
      <c r="C22" s="537" t="s">
        <v>31</v>
      </c>
      <c r="D22" s="538"/>
      <c r="E22" s="539"/>
      <c r="F22" s="539"/>
      <c r="G22" s="539"/>
      <c r="H22" s="1212"/>
    </row>
    <row r="23" spans="1:8" ht="12.95" thickBot="1">
      <c r="A23" s="536"/>
      <c r="B23" s="536"/>
      <c r="C23" s="540"/>
      <c r="D23" s="1197" t="s">
        <v>18</v>
      </c>
      <c r="E23" s="1198"/>
      <c r="F23" s="1198"/>
      <c r="G23" s="1199"/>
      <c r="H23" s="1212"/>
    </row>
    <row r="24" spans="1:8" ht="12.95" thickBot="1">
      <c r="A24" s="541"/>
      <c r="B24" s="541"/>
      <c r="C24" s="542"/>
      <c r="D24" s="1200"/>
      <c r="E24" s="1201"/>
      <c r="F24" s="1201"/>
      <c r="G24" s="1202"/>
      <c r="H24" s="1214"/>
    </row>
    <row r="25" spans="1:8" ht="12.95" thickBot="1">
      <c r="A25" s="1203" t="s">
        <v>385</v>
      </c>
      <c r="B25" s="549" t="s">
        <v>386</v>
      </c>
      <c r="C25" s="549"/>
      <c r="D25" s="549" t="s">
        <v>387</v>
      </c>
      <c r="E25" s="549" t="s">
        <v>388</v>
      </c>
      <c r="F25" s="549" t="s">
        <v>389</v>
      </c>
      <c r="G25" s="1205" t="s">
        <v>390</v>
      </c>
      <c r="H25" s="1206"/>
    </row>
    <row r="26" spans="1:8" ht="12.95" thickBot="1">
      <c r="A26" s="1204"/>
      <c r="B26" s="550"/>
      <c r="C26" s="550"/>
      <c r="D26" s="550"/>
      <c r="E26" s="550"/>
      <c r="F26" s="550"/>
      <c r="G26" s="1207"/>
      <c r="H26" s="1208"/>
    </row>
    <row r="27" spans="1:8">
      <c r="A27" s="544"/>
      <c r="B27" s="544"/>
      <c r="C27" s="544"/>
      <c r="D27" s="544"/>
      <c r="E27" s="544"/>
      <c r="F27" s="544"/>
      <c r="G27" s="544"/>
      <c r="H27" s="544"/>
    </row>
    <row r="28" spans="1:8">
      <c r="A28" s="544"/>
      <c r="B28" s="544"/>
      <c r="C28" s="544"/>
      <c r="D28" s="544"/>
      <c r="E28" s="544"/>
      <c r="F28" s="544"/>
      <c r="G28" s="544"/>
      <c r="H28" s="544"/>
    </row>
    <row r="29" spans="1:8">
      <c r="A29" s="544"/>
      <c r="B29" s="544"/>
      <c r="C29" s="544"/>
      <c r="D29" s="544"/>
      <c r="E29" s="544"/>
      <c r="F29" s="544"/>
      <c r="G29" s="544"/>
      <c r="H29" s="544"/>
    </row>
    <row r="30" spans="1:8" ht="12.95" thickBot="1">
      <c r="A30" s="552"/>
      <c r="B30" s="552"/>
      <c r="C30" s="552"/>
      <c r="D30" s="552"/>
      <c r="E30" s="552"/>
      <c r="F30" s="552"/>
      <c r="G30" s="552"/>
      <c r="H30" s="552"/>
    </row>
    <row r="31" spans="1:8" ht="12.95" thickBot="1">
      <c r="A31" s="545" t="s">
        <v>391</v>
      </c>
      <c r="B31" s="546" t="s">
        <v>76</v>
      </c>
      <c r="C31" s="551"/>
      <c r="D31" s="547" t="s">
        <v>294</v>
      </c>
      <c r="E31" s="547" t="s">
        <v>376</v>
      </c>
      <c r="F31" s="547" t="s">
        <v>377</v>
      </c>
      <c r="G31" s="547" t="s">
        <v>392</v>
      </c>
      <c r="H31" s="548" t="s">
        <v>393</v>
      </c>
    </row>
    <row r="32" spans="1:8" ht="13.5" customHeight="1" thickBot="1">
      <c r="A32" s="1209" t="s">
        <v>394</v>
      </c>
      <c r="B32" s="1209" t="s">
        <v>395</v>
      </c>
      <c r="C32" s="534" t="s">
        <v>29</v>
      </c>
      <c r="D32" s="535"/>
      <c r="E32" s="535" t="s">
        <v>396</v>
      </c>
      <c r="F32" s="535" t="s">
        <v>397</v>
      </c>
      <c r="G32" s="535"/>
      <c r="H32" s="1211"/>
    </row>
    <row r="33" spans="1:8" ht="12.95" thickBot="1">
      <c r="A33" s="1210"/>
      <c r="B33" s="1210"/>
      <c r="C33" s="537" t="s">
        <v>31</v>
      </c>
      <c r="D33" s="538"/>
      <c r="E33" s="539"/>
      <c r="F33" s="539"/>
      <c r="G33" s="539"/>
      <c r="H33" s="1212"/>
    </row>
    <row r="34" spans="1:8" ht="12.95" thickBot="1">
      <c r="A34" s="536"/>
      <c r="B34" s="1210"/>
      <c r="C34" s="1197" t="s">
        <v>18</v>
      </c>
      <c r="D34" s="1198"/>
      <c r="E34" s="1198"/>
      <c r="F34" s="1198"/>
      <c r="G34" s="1199"/>
      <c r="H34" s="1212"/>
    </row>
    <row r="35" spans="1:8" ht="12.95" thickBot="1">
      <c r="A35" s="536"/>
      <c r="B35" s="541"/>
      <c r="C35" s="1215"/>
      <c r="D35" s="1216"/>
      <c r="E35" s="1216"/>
      <c r="F35" s="1216"/>
      <c r="G35" s="1217"/>
      <c r="H35" s="1212"/>
    </row>
    <row r="36" spans="1:8" ht="12.95" thickBot="1">
      <c r="A36" s="536"/>
      <c r="B36" s="531" t="s">
        <v>85</v>
      </c>
      <c r="C36" s="531"/>
      <c r="D36" s="532" t="s">
        <v>294</v>
      </c>
      <c r="E36" s="532" t="s">
        <v>376</v>
      </c>
      <c r="F36" s="532" t="s">
        <v>377</v>
      </c>
      <c r="G36" s="532" t="s">
        <v>378</v>
      </c>
      <c r="H36" s="1212"/>
    </row>
    <row r="37" spans="1:8" ht="23.45" thickBot="1">
      <c r="A37" s="536"/>
      <c r="B37" s="533" t="s">
        <v>398</v>
      </c>
      <c r="C37" s="553" t="s">
        <v>29</v>
      </c>
      <c r="D37" s="535"/>
      <c r="E37" s="535" t="s">
        <v>399</v>
      </c>
      <c r="F37" s="535" t="s">
        <v>400</v>
      </c>
      <c r="G37" s="535"/>
      <c r="H37" s="1212"/>
    </row>
    <row r="38" spans="1:8" ht="12.95" thickBot="1">
      <c r="A38" s="536"/>
      <c r="B38" s="536"/>
      <c r="C38" s="534" t="s">
        <v>31</v>
      </c>
      <c r="D38" s="554"/>
      <c r="E38" s="539"/>
      <c r="F38" s="539"/>
      <c r="G38" s="539"/>
      <c r="H38" s="1212"/>
    </row>
    <row r="39" spans="1:8" ht="12.95" thickBot="1">
      <c r="A39" s="536"/>
      <c r="B39" s="536"/>
      <c r="C39" s="1218" t="s">
        <v>18</v>
      </c>
      <c r="D39" s="1219"/>
      <c r="E39" s="1219"/>
      <c r="F39" s="1219"/>
      <c r="G39" s="1220"/>
      <c r="H39" s="1212"/>
    </row>
    <row r="40" spans="1:8" ht="12.95" thickBot="1">
      <c r="A40" s="541"/>
      <c r="B40" s="541"/>
      <c r="C40" s="1215"/>
      <c r="D40" s="1216"/>
      <c r="E40" s="1216"/>
      <c r="F40" s="1216"/>
      <c r="G40" s="1217"/>
      <c r="H40" s="1213"/>
    </row>
    <row r="41" spans="1:8" ht="12.95" thickBot="1">
      <c r="A41" s="530" t="s">
        <v>401</v>
      </c>
      <c r="B41" s="531" t="s">
        <v>89</v>
      </c>
      <c r="C41" s="531"/>
      <c r="D41" s="532" t="s">
        <v>294</v>
      </c>
      <c r="E41" s="532" t="s">
        <v>376</v>
      </c>
      <c r="F41" s="532" t="s">
        <v>377</v>
      </c>
      <c r="G41" s="532" t="s">
        <v>378</v>
      </c>
      <c r="H41" s="1212"/>
    </row>
    <row r="42" spans="1:8" ht="23.45" thickBot="1">
      <c r="A42" s="555"/>
      <c r="B42" s="533" t="s">
        <v>402</v>
      </c>
      <c r="C42" s="553" t="s">
        <v>29</v>
      </c>
      <c r="D42" s="535"/>
      <c r="E42" s="535" t="s">
        <v>403</v>
      </c>
      <c r="F42" s="535" t="s">
        <v>404</v>
      </c>
      <c r="G42" s="535"/>
      <c r="H42" s="1214"/>
    </row>
    <row r="43" spans="1:8" ht="12.95" thickBot="1">
      <c r="A43" s="556"/>
      <c r="B43" s="536"/>
      <c r="C43" s="534" t="s">
        <v>31</v>
      </c>
      <c r="D43" s="554"/>
      <c r="E43" s="539"/>
      <c r="F43" s="539"/>
      <c r="G43" s="539"/>
      <c r="H43" s="535"/>
    </row>
    <row r="44" spans="1:8" ht="12.95" thickBot="1">
      <c r="A44" s="556"/>
      <c r="B44" s="536"/>
      <c r="C44" s="1218" t="s">
        <v>18</v>
      </c>
      <c r="D44" s="1219"/>
      <c r="E44" s="1219"/>
      <c r="F44" s="1219"/>
      <c r="G44" s="1220"/>
      <c r="H44" s="557" t="s">
        <v>405</v>
      </c>
    </row>
    <row r="45" spans="1:8" ht="12.95" thickBot="1">
      <c r="A45" s="558"/>
      <c r="B45" s="541"/>
      <c r="C45" s="543"/>
      <c r="D45" s="1201"/>
      <c r="E45" s="1201"/>
      <c r="F45" s="1201"/>
      <c r="G45" s="1202"/>
      <c r="H45" s="535"/>
    </row>
    <row r="46" spans="1:8" ht="12.95" thickBot="1">
      <c r="A46" s="1203" t="s">
        <v>385</v>
      </c>
      <c r="B46" s="549" t="s">
        <v>386</v>
      </c>
      <c r="C46" s="549"/>
      <c r="D46" s="549" t="s">
        <v>387</v>
      </c>
      <c r="E46" s="549" t="s">
        <v>388</v>
      </c>
      <c r="F46" s="549" t="s">
        <v>389</v>
      </c>
      <c r="G46" s="1221" t="s">
        <v>390</v>
      </c>
      <c r="H46" s="1206"/>
    </row>
    <row r="47" spans="1:8" ht="12.95" thickBot="1">
      <c r="A47" s="1204"/>
      <c r="B47" s="550"/>
      <c r="C47" s="550"/>
      <c r="D47" s="550"/>
      <c r="E47" s="550"/>
      <c r="F47" s="550"/>
      <c r="G47" s="1207"/>
      <c r="H47" s="1208"/>
    </row>
    <row r="48" spans="1:8">
      <c r="A48" s="544"/>
      <c r="B48" s="544"/>
      <c r="C48" s="544"/>
      <c r="D48" s="544"/>
      <c r="E48" s="544"/>
      <c r="F48" s="544"/>
      <c r="G48" s="544"/>
      <c r="H48" s="544"/>
    </row>
    <row r="49" spans="1:8" ht="12.95" thickBot="1">
      <c r="A49" s="544"/>
      <c r="B49" s="544"/>
      <c r="C49" s="544"/>
      <c r="D49" s="544"/>
      <c r="E49" s="544"/>
      <c r="F49" s="544"/>
      <c r="G49" s="544"/>
      <c r="H49" s="544"/>
    </row>
    <row r="50" spans="1:8" ht="12.95" thickBot="1">
      <c r="A50" s="545" t="s">
        <v>406</v>
      </c>
      <c r="B50" s="546" t="s">
        <v>102</v>
      </c>
      <c r="C50" s="546"/>
      <c r="D50" s="547" t="s">
        <v>294</v>
      </c>
      <c r="E50" s="547" t="s">
        <v>376</v>
      </c>
      <c r="F50" s="547" t="s">
        <v>377</v>
      </c>
      <c r="G50" s="547" t="s">
        <v>392</v>
      </c>
      <c r="H50" s="548" t="s">
        <v>35</v>
      </c>
    </row>
    <row r="51" spans="1:8" ht="12.95" thickBot="1">
      <c r="A51" s="1209" t="s">
        <v>407</v>
      </c>
      <c r="B51" s="533" t="s">
        <v>408</v>
      </c>
      <c r="C51" s="534" t="s">
        <v>29</v>
      </c>
      <c r="D51" s="535">
        <v>0</v>
      </c>
      <c r="E51" s="535" t="s">
        <v>409</v>
      </c>
      <c r="F51" s="535"/>
      <c r="G51" s="535"/>
      <c r="H51" s="1211"/>
    </row>
    <row r="52" spans="1:8" ht="12.95" thickBot="1">
      <c r="A52" s="1210"/>
      <c r="B52" s="536"/>
      <c r="C52" s="559" t="s">
        <v>31</v>
      </c>
      <c r="D52" s="538"/>
      <c r="E52" s="539"/>
      <c r="F52" s="539"/>
      <c r="G52" s="539"/>
      <c r="H52" s="1212"/>
    </row>
    <row r="53" spans="1:8" ht="12.95" thickBot="1">
      <c r="A53" s="536"/>
      <c r="B53" s="536"/>
      <c r="C53" s="1197" t="s">
        <v>18</v>
      </c>
      <c r="D53" s="1198"/>
      <c r="E53" s="1198"/>
      <c r="F53" s="1198"/>
      <c r="G53" s="1199"/>
      <c r="H53" s="1212"/>
    </row>
    <row r="54" spans="1:8" ht="12.95" thickBot="1">
      <c r="A54" s="536"/>
      <c r="B54" s="541"/>
      <c r="C54" s="1215"/>
      <c r="D54" s="1216"/>
      <c r="E54" s="1216"/>
      <c r="F54" s="1216"/>
      <c r="G54" s="1217"/>
      <c r="H54" s="1212"/>
    </row>
    <row r="55" spans="1:8" ht="12.95" thickBot="1">
      <c r="A55" s="536"/>
      <c r="B55" s="531" t="s">
        <v>108</v>
      </c>
      <c r="C55" s="531"/>
      <c r="D55" s="532" t="s">
        <v>294</v>
      </c>
      <c r="E55" s="532" t="s">
        <v>376</v>
      </c>
      <c r="F55" s="532" t="s">
        <v>377</v>
      </c>
      <c r="G55" s="532" t="s">
        <v>378</v>
      </c>
      <c r="H55" s="1212"/>
    </row>
    <row r="56" spans="1:8" ht="13.5" customHeight="1" thickBot="1">
      <c r="A56" s="536"/>
      <c r="B56" s="533" t="s">
        <v>410</v>
      </c>
      <c r="C56" s="553" t="s">
        <v>29</v>
      </c>
      <c r="D56" s="535"/>
      <c r="E56" s="535" t="s">
        <v>411</v>
      </c>
      <c r="F56" s="535"/>
      <c r="G56" s="535"/>
      <c r="H56" s="1212"/>
    </row>
    <row r="57" spans="1:8" ht="12.95" thickBot="1">
      <c r="A57" s="536"/>
      <c r="B57" s="536"/>
      <c r="C57" s="534" t="s">
        <v>31</v>
      </c>
      <c r="D57" s="554"/>
      <c r="E57" s="539"/>
      <c r="F57" s="539"/>
      <c r="G57" s="539"/>
      <c r="H57" s="1213"/>
    </row>
    <row r="58" spans="1:8" ht="12.95" thickBot="1">
      <c r="A58" s="536"/>
      <c r="B58" s="536"/>
      <c r="C58" s="1197" t="s">
        <v>18</v>
      </c>
      <c r="D58" s="1198"/>
      <c r="E58" s="1198"/>
      <c r="F58" s="1198"/>
      <c r="G58" s="1199"/>
      <c r="H58" s="1212"/>
    </row>
    <row r="59" spans="1:8" ht="12.95" thickBot="1">
      <c r="A59" s="541"/>
      <c r="B59" s="541"/>
      <c r="C59" s="1215"/>
      <c r="D59" s="1216"/>
      <c r="E59" s="1216"/>
      <c r="F59" s="1216"/>
      <c r="G59" s="1217"/>
      <c r="H59" s="1212"/>
    </row>
    <row r="60" spans="1:8" ht="12.95" thickBot="1">
      <c r="A60" s="530" t="s">
        <v>401</v>
      </c>
      <c r="B60" s="531" t="s">
        <v>111</v>
      </c>
      <c r="C60" s="531"/>
      <c r="D60" s="532" t="s">
        <v>294</v>
      </c>
      <c r="E60" s="532" t="s">
        <v>376</v>
      </c>
      <c r="F60" s="532" t="s">
        <v>377</v>
      </c>
      <c r="G60" s="532" t="s">
        <v>378</v>
      </c>
      <c r="H60" s="1212"/>
    </row>
    <row r="61" spans="1:8" ht="12.95" thickBot="1">
      <c r="A61" s="555"/>
      <c r="B61" s="533"/>
      <c r="C61" s="560" t="s">
        <v>29</v>
      </c>
      <c r="D61" s="561"/>
      <c r="E61" s="535"/>
      <c r="F61" s="535"/>
      <c r="G61" s="535"/>
      <c r="H61" s="1214"/>
    </row>
    <row r="62" spans="1:8" ht="12.95" thickBot="1">
      <c r="A62" s="556"/>
      <c r="B62" s="536"/>
      <c r="C62" s="534" t="s">
        <v>31</v>
      </c>
      <c r="D62" s="538"/>
      <c r="E62" s="539"/>
      <c r="F62" s="539"/>
      <c r="G62" s="539"/>
      <c r="H62" s="535"/>
    </row>
    <row r="63" spans="1:8" ht="12.95" thickBot="1">
      <c r="A63" s="556"/>
      <c r="B63" s="536"/>
      <c r="C63" s="1197" t="s">
        <v>18</v>
      </c>
      <c r="D63" s="1198"/>
      <c r="E63" s="1198"/>
      <c r="F63" s="1198"/>
      <c r="G63" s="1199"/>
      <c r="H63" s="557" t="s">
        <v>405</v>
      </c>
    </row>
    <row r="64" spans="1:8" ht="12.95" thickBot="1">
      <c r="A64" s="558"/>
      <c r="B64" s="541"/>
      <c r="C64" s="1215"/>
      <c r="D64" s="1216"/>
      <c r="E64" s="1216"/>
      <c r="F64" s="1216"/>
      <c r="G64" s="1217"/>
      <c r="H64" s="535"/>
    </row>
    <row r="65" spans="1:8" ht="12.95" thickBot="1">
      <c r="A65" s="1203" t="s">
        <v>385</v>
      </c>
      <c r="B65" s="549" t="s">
        <v>386</v>
      </c>
      <c r="C65" s="549"/>
      <c r="D65" s="549" t="s">
        <v>387</v>
      </c>
      <c r="E65" s="549" t="s">
        <v>388</v>
      </c>
      <c r="F65" s="549" t="s">
        <v>389</v>
      </c>
      <c r="G65" s="1205" t="s">
        <v>390</v>
      </c>
      <c r="H65" s="1206"/>
    </row>
    <row r="66" spans="1:8" ht="12.95" thickBot="1">
      <c r="A66" s="1204"/>
      <c r="B66" s="550"/>
      <c r="C66" s="550"/>
      <c r="D66" s="550"/>
      <c r="E66" s="550"/>
      <c r="F66" s="550"/>
      <c r="G66" s="1207"/>
      <c r="H66" s="1208"/>
    </row>
    <row r="67" spans="1:8" ht="12.95" thickBot="1">
      <c r="A67" s="1203" t="s">
        <v>412</v>
      </c>
      <c r="B67" s="549" t="s">
        <v>413</v>
      </c>
      <c r="C67" s="562"/>
      <c r="D67" s="1222"/>
      <c r="E67" s="1223"/>
      <c r="F67" s="1223"/>
      <c r="G67" s="1223"/>
      <c r="H67" s="1224"/>
    </row>
    <row r="68" spans="1:8" ht="12.95" thickBot="1">
      <c r="A68" s="1204"/>
      <c r="B68" s="550"/>
      <c r="C68" s="552"/>
      <c r="D68" s="1225"/>
      <c r="E68" s="1226"/>
      <c r="F68" s="1226"/>
      <c r="G68" s="1226"/>
      <c r="H68" s="1227"/>
    </row>
    <row r="69" spans="1:8" ht="12.95" thickBot="1">
      <c r="A69" s="545" t="s">
        <v>414</v>
      </c>
      <c r="B69" s="546" t="s">
        <v>126</v>
      </c>
      <c r="C69" s="546"/>
      <c r="D69" s="547" t="s">
        <v>294</v>
      </c>
      <c r="E69" s="547" t="s">
        <v>376</v>
      </c>
      <c r="F69" s="547" t="s">
        <v>377</v>
      </c>
      <c r="G69" s="547" t="s">
        <v>392</v>
      </c>
      <c r="H69" s="548" t="s">
        <v>35</v>
      </c>
    </row>
    <row r="70" spans="1:8" ht="35.1" thickBot="1">
      <c r="A70" s="1209" t="s">
        <v>415</v>
      </c>
      <c r="B70" s="533" t="s">
        <v>416</v>
      </c>
      <c r="C70" s="534" t="s">
        <v>29</v>
      </c>
      <c r="D70" s="535">
        <v>0</v>
      </c>
      <c r="E70" s="563" t="s">
        <v>417</v>
      </c>
      <c r="F70" s="563" t="s">
        <v>418</v>
      </c>
      <c r="G70" s="535"/>
      <c r="H70" s="1211"/>
    </row>
    <row r="71" spans="1:8" ht="12.95" thickBot="1">
      <c r="A71" s="1210"/>
      <c r="C71" s="559" t="s">
        <v>31</v>
      </c>
      <c r="D71" s="538"/>
      <c r="E71" s="539"/>
      <c r="F71" s="539"/>
      <c r="G71" s="539"/>
      <c r="H71" s="1212"/>
    </row>
    <row r="72" spans="1:8" ht="12.95" thickBot="1">
      <c r="A72" s="536"/>
      <c r="B72" s="536"/>
      <c r="C72" s="1197" t="s">
        <v>18</v>
      </c>
      <c r="D72" s="1198"/>
      <c r="E72" s="1198"/>
      <c r="F72" s="1198"/>
      <c r="G72" s="1199"/>
      <c r="H72" s="1212"/>
    </row>
    <row r="73" spans="1:8" ht="12.95" thickBot="1">
      <c r="A73" s="536"/>
      <c r="B73" s="541"/>
      <c r="C73" s="1215"/>
      <c r="D73" s="1216"/>
      <c r="E73" s="1216"/>
      <c r="F73" s="1216"/>
      <c r="G73" s="1217"/>
      <c r="H73" s="1212"/>
    </row>
    <row r="74" spans="1:8" ht="12.95" thickBot="1">
      <c r="A74" s="536"/>
      <c r="B74" s="531" t="s">
        <v>131</v>
      </c>
      <c r="C74" s="531"/>
      <c r="D74" s="532" t="s">
        <v>294</v>
      </c>
      <c r="E74" s="532" t="s">
        <v>376</v>
      </c>
      <c r="F74" s="532" t="s">
        <v>377</v>
      </c>
      <c r="G74" s="532" t="s">
        <v>378</v>
      </c>
      <c r="H74" s="1212"/>
    </row>
    <row r="75" spans="1:8" ht="13.5" customHeight="1" thickBot="1">
      <c r="A75" s="536"/>
      <c r="B75" s="536" t="s">
        <v>419</v>
      </c>
      <c r="C75" s="553" t="s">
        <v>29</v>
      </c>
      <c r="D75" s="535">
        <v>0</v>
      </c>
      <c r="E75" s="1228">
        <v>45731</v>
      </c>
      <c r="F75" s="535"/>
      <c r="G75" s="535"/>
      <c r="H75" s="1212"/>
    </row>
    <row r="76" spans="1:8" ht="12.95" thickBot="1">
      <c r="A76" s="536"/>
      <c r="B76" s="536"/>
      <c r="C76" s="534" t="s">
        <v>31</v>
      </c>
      <c r="D76" s="554"/>
      <c r="E76" s="1229"/>
      <c r="F76" s="539"/>
      <c r="G76" s="539"/>
      <c r="H76" s="1213"/>
    </row>
    <row r="77" spans="1:8" ht="12.95" thickBot="1">
      <c r="A77" s="536"/>
      <c r="B77" s="536"/>
      <c r="C77" s="1197" t="s">
        <v>18</v>
      </c>
      <c r="D77" s="1198"/>
      <c r="E77" s="1198"/>
      <c r="F77" s="1198"/>
      <c r="G77" s="1199"/>
      <c r="H77" s="1212"/>
    </row>
    <row r="78" spans="1:8" ht="12.95" thickBot="1">
      <c r="A78" s="541"/>
      <c r="B78" s="541"/>
      <c r="C78" s="1215"/>
      <c r="D78" s="1216"/>
      <c r="E78" s="1216"/>
      <c r="F78" s="1216"/>
      <c r="G78" s="1217"/>
      <c r="H78" s="1212"/>
    </row>
    <row r="79" spans="1:8" ht="12.95" thickBot="1">
      <c r="A79" s="530" t="s">
        <v>401</v>
      </c>
      <c r="B79" s="531" t="s">
        <v>111</v>
      </c>
      <c r="C79" s="531"/>
      <c r="D79" s="532" t="s">
        <v>294</v>
      </c>
      <c r="E79" s="532" t="s">
        <v>376</v>
      </c>
      <c r="F79" s="532" t="s">
        <v>377</v>
      </c>
      <c r="G79" s="532" t="s">
        <v>378</v>
      </c>
      <c r="H79" s="1212"/>
    </row>
    <row r="80" spans="1:8" ht="12.95" thickBot="1">
      <c r="A80" s="555"/>
      <c r="C80" s="560" t="s">
        <v>29</v>
      </c>
      <c r="D80" s="561"/>
      <c r="E80" s="535"/>
      <c r="F80" s="535"/>
      <c r="G80" s="535"/>
      <c r="H80" s="1214"/>
    </row>
    <row r="81" spans="1:8" ht="12.95" thickBot="1">
      <c r="A81" s="556"/>
      <c r="B81" s="533"/>
      <c r="C81" s="534" t="s">
        <v>31</v>
      </c>
      <c r="D81" s="538"/>
      <c r="E81" s="539"/>
      <c r="F81" s="539"/>
      <c r="G81" s="539"/>
      <c r="H81" s="535"/>
    </row>
    <row r="82" spans="1:8" ht="12.95" thickBot="1">
      <c r="A82" s="556"/>
      <c r="B82" s="536"/>
      <c r="C82" s="1197" t="s">
        <v>18</v>
      </c>
      <c r="D82" s="1198"/>
      <c r="E82" s="1198"/>
      <c r="F82" s="1198"/>
      <c r="G82" s="1199"/>
      <c r="H82" s="557" t="s">
        <v>405</v>
      </c>
    </row>
    <row r="83" spans="1:8" ht="12.95" thickBot="1">
      <c r="A83" s="558"/>
      <c r="B83" s="541"/>
      <c r="C83" s="1215"/>
      <c r="D83" s="1216"/>
      <c r="E83" s="1216"/>
      <c r="F83" s="1216"/>
      <c r="G83" s="1217"/>
      <c r="H83" s="535"/>
    </row>
    <row r="84" spans="1:8" ht="12.95" thickBot="1">
      <c r="A84" s="1203" t="s">
        <v>385</v>
      </c>
      <c r="B84" s="549" t="s">
        <v>386</v>
      </c>
      <c r="C84" s="549"/>
      <c r="D84" s="549" t="s">
        <v>387</v>
      </c>
      <c r="E84" s="549" t="s">
        <v>388</v>
      </c>
      <c r="F84" s="549" t="s">
        <v>389</v>
      </c>
      <c r="G84" s="1205" t="s">
        <v>390</v>
      </c>
      <c r="H84" s="1206"/>
    </row>
    <row r="85" spans="1:8" ht="12.95" thickBot="1">
      <c r="A85" s="1204"/>
      <c r="B85" s="550"/>
      <c r="C85" s="550"/>
      <c r="D85" s="550"/>
      <c r="E85" s="550"/>
      <c r="F85" s="550"/>
      <c r="G85" s="1207"/>
      <c r="H85" s="1208"/>
    </row>
    <row r="86" spans="1:8" ht="12.95" thickBot="1">
      <c r="A86" s="1203" t="s">
        <v>412</v>
      </c>
      <c r="B86" s="549" t="s">
        <v>413</v>
      </c>
      <c r="C86" s="562"/>
      <c r="D86" s="1222"/>
      <c r="E86" s="1223"/>
      <c r="F86" s="1223"/>
      <c r="G86" s="1223"/>
      <c r="H86" s="1224"/>
    </row>
    <row r="87" spans="1:8" ht="12.95" thickBot="1">
      <c r="A87" s="1204"/>
      <c r="B87" s="550"/>
      <c r="C87" s="552"/>
      <c r="D87" s="1225"/>
      <c r="E87" s="1226"/>
      <c r="F87" s="1226"/>
      <c r="G87" s="1226"/>
      <c r="H87" s="1227"/>
    </row>
  </sheetData>
  <mergeCells count="53">
    <mergeCell ref="A86:A87"/>
    <mergeCell ref="D86:H87"/>
    <mergeCell ref="A70:A71"/>
    <mergeCell ref="H70:H80"/>
    <mergeCell ref="C72:G72"/>
    <mergeCell ref="C73:G73"/>
    <mergeCell ref="E75:E76"/>
    <mergeCell ref="C77:G77"/>
    <mergeCell ref="C78:G78"/>
    <mergeCell ref="C82:G82"/>
    <mergeCell ref="C83:G83"/>
    <mergeCell ref="A84:A85"/>
    <mergeCell ref="G84:H84"/>
    <mergeCell ref="G85:H85"/>
    <mergeCell ref="A67:A68"/>
    <mergeCell ref="D67:H68"/>
    <mergeCell ref="A51:A52"/>
    <mergeCell ref="H51:H61"/>
    <mergeCell ref="C53:G53"/>
    <mergeCell ref="C54:G54"/>
    <mergeCell ref="C58:G58"/>
    <mergeCell ref="C59:G59"/>
    <mergeCell ref="C63:G63"/>
    <mergeCell ref="C64:G64"/>
    <mergeCell ref="A65:A66"/>
    <mergeCell ref="G65:H65"/>
    <mergeCell ref="G66:H66"/>
    <mergeCell ref="C44:G44"/>
    <mergeCell ref="D45:G45"/>
    <mergeCell ref="A46:A47"/>
    <mergeCell ref="G46:H46"/>
    <mergeCell ref="G47:H47"/>
    <mergeCell ref="D24:G24"/>
    <mergeCell ref="A25:A26"/>
    <mergeCell ref="G25:H25"/>
    <mergeCell ref="G26:H26"/>
    <mergeCell ref="A32:A33"/>
    <mergeCell ref="B32:B34"/>
    <mergeCell ref="H32:H42"/>
    <mergeCell ref="C34:G34"/>
    <mergeCell ref="C35:G35"/>
    <mergeCell ref="C39:G39"/>
    <mergeCell ref="H16:H24"/>
    <mergeCell ref="D18:G18"/>
    <mergeCell ref="D19:E19"/>
    <mergeCell ref="F19:G19"/>
    <mergeCell ref="D23:G23"/>
    <mergeCell ref="C40:G40"/>
    <mergeCell ref="H3:H12"/>
    <mergeCell ref="D6:G6"/>
    <mergeCell ref="D7:G7"/>
    <mergeCell ref="D11:G11"/>
    <mergeCell ref="D12:G12"/>
  </mergeCells>
  <pageMargins left="0.25" right="0.25" top="0.75" bottom="0.75" header="0.3" footer="0.3"/>
  <pageSetup paperSize="8" scale="96" fitToHeight="0" orientation="landscape" r:id="rId1"/>
  <headerFooter alignWithMargins="0">
    <oddHeader>&amp;C&amp;"Calibri"&amp;10&amp;K000000 OFFICIAL&amp;1#_x000D_</oddHeader>
    <oddFooter>&amp;LUpdated January 2011&amp;C_x000D_&amp;1#&amp;"Calibri"&amp;10&amp;K000000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A613F-BBB7-4DE6-982E-0FE751CD4D05}">
  <sheetPr>
    <pageSetUpPr fitToPage="1"/>
  </sheetPr>
  <dimension ref="A1:L146"/>
  <sheetViews>
    <sheetView showGridLines="0" topLeftCell="A105" zoomScale="85" zoomScaleNormal="85" zoomScaleSheetLayoutView="100" workbookViewId="0">
      <selection activeCell="B70" sqref="B70:B73"/>
    </sheetView>
  </sheetViews>
  <sheetFormatPr defaultColWidth="10" defaultRowHeight="12.6"/>
  <cols>
    <col min="1" max="1" width="12.5703125" style="521" customWidth="1"/>
    <col min="2" max="2" width="19.85546875" style="521" customWidth="1"/>
    <col min="3" max="3" width="22.7109375" style="782" customWidth="1"/>
    <col min="4" max="4" width="12.28515625" style="782" customWidth="1"/>
    <col min="5" max="6" width="19.5703125" style="753" hidden="1" customWidth="1"/>
    <col min="7" max="7" width="17.140625" style="753" customWidth="1"/>
    <col min="8" max="10" width="19.5703125" style="753" customWidth="1"/>
    <col min="11" max="11" width="33.28515625" style="753" hidden="1" customWidth="1"/>
    <col min="12" max="12" width="11.140625" style="521" bestFit="1" customWidth="1"/>
    <col min="13" max="16384" width="10" style="521"/>
  </cols>
  <sheetData>
    <row r="1" spans="1:11" ht="15.6">
      <c r="A1" s="1234" t="s">
        <v>420</v>
      </c>
      <c r="B1" s="1234"/>
      <c r="C1" s="1234"/>
      <c r="D1" s="1234"/>
      <c r="E1" s="1234"/>
      <c r="F1" s="1234"/>
      <c r="G1" s="1234"/>
      <c r="H1" s="1234"/>
      <c r="I1" s="1234"/>
      <c r="J1" s="1234"/>
      <c r="K1" s="736"/>
    </row>
    <row r="2" spans="1:11" ht="26.1">
      <c r="A2" s="737" t="s">
        <v>421</v>
      </c>
      <c r="B2" s="737" t="s">
        <v>422</v>
      </c>
      <c r="C2" s="582"/>
      <c r="D2" s="582" t="s">
        <v>423</v>
      </c>
      <c r="E2" s="583" t="s">
        <v>424</v>
      </c>
      <c r="F2" s="584">
        <v>45382</v>
      </c>
      <c r="G2" s="584">
        <v>45747</v>
      </c>
      <c r="H2" s="738">
        <v>46082</v>
      </c>
      <c r="I2" s="738">
        <v>46447</v>
      </c>
      <c r="J2" s="584">
        <v>46722</v>
      </c>
      <c r="K2" s="1235"/>
    </row>
    <row r="3" spans="1:11" ht="12.95">
      <c r="A3" s="737" t="s">
        <v>2</v>
      </c>
      <c r="B3" s="737" t="s">
        <v>3</v>
      </c>
      <c r="C3" s="582"/>
      <c r="D3" s="582"/>
      <c r="E3" s="583"/>
      <c r="F3" s="584"/>
      <c r="G3" s="584"/>
      <c r="H3" s="738"/>
      <c r="I3" s="738"/>
      <c r="J3" s="584"/>
      <c r="K3" s="1235"/>
    </row>
    <row r="4" spans="1:11" ht="12.95">
      <c r="A4" s="1232" t="s">
        <v>7</v>
      </c>
      <c r="B4" s="1232" t="s">
        <v>425</v>
      </c>
      <c r="C4" s="580" t="s">
        <v>426</v>
      </c>
      <c r="D4" s="740" t="s">
        <v>427</v>
      </c>
      <c r="E4" s="741">
        <v>0</v>
      </c>
      <c r="F4" s="741">
        <v>0</v>
      </c>
      <c r="G4" s="741">
        <v>0</v>
      </c>
      <c r="H4" s="741">
        <v>0</v>
      </c>
      <c r="I4" s="741">
        <v>333</v>
      </c>
      <c r="J4" s="741">
        <v>1000</v>
      </c>
      <c r="K4" s="1235"/>
    </row>
    <row r="5" spans="1:11">
      <c r="A5" s="1232"/>
      <c r="B5" s="1232"/>
      <c r="C5" s="740" t="s">
        <v>12</v>
      </c>
      <c r="D5" s="740" t="s">
        <v>427</v>
      </c>
      <c r="E5" s="742">
        <f>E4*30%</f>
        <v>0</v>
      </c>
      <c r="F5" s="742">
        <f>F4*30%</f>
        <v>0</v>
      </c>
      <c r="G5" s="742">
        <v>0</v>
      </c>
      <c r="H5" s="742">
        <v>0</v>
      </c>
      <c r="I5" s="742">
        <v>100</v>
      </c>
      <c r="J5" s="742">
        <v>300</v>
      </c>
      <c r="K5" s="1235"/>
    </row>
    <row r="6" spans="1:11" ht="26.1">
      <c r="A6" s="1232"/>
      <c r="B6" s="1232"/>
      <c r="C6" s="580" t="s">
        <v>428</v>
      </c>
      <c r="D6" s="740" t="s">
        <v>427</v>
      </c>
      <c r="E6" s="741">
        <v>0</v>
      </c>
      <c r="F6" s="741">
        <v>0</v>
      </c>
      <c r="G6" s="741">
        <v>0</v>
      </c>
      <c r="H6" s="741">
        <v>0</v>
      </c>
      <c r="I6" s="741">
        <v>8333.3333333333321</v>
      </c>
      <c r="J6" s="741">
        <v>25000</v>
      </c>
      <c r="K6" s="1235"/>
    </row>
    <row r="7" spans="1:11">
      <c r="A7" s="1232"/>
      <c r="B7" s="1232"/>
      <c r="C7" s="740" t="s">
        <v>12</v>
      </c>
      <c r="D7" s="740" t="s">
        <v>427</v>
      </c>
      <c r="E7" s="742">
        <f>E6*30%</f>
        <v>0</v>
      </c>
      <c r="F7" s="742">
        <f>F6*30%</f>
        <v>0</v>
      </c>
      <c r="G7" s="742">
        <v>0</v>
      </c>
      <c r="H7" s="742">
        <v>0</v>
      </c>
      <c r="I7" s="742">
        <v>2499.9999999999995</v>
      </c>
      <c r="J7" s="742">
        <v>7500</v>
      </c>
      <c r="K7" s="1235"/>
    </row>
    <row r="8" spans="1:11" ht="12.95">
      <c r="A8" s="1232"/>
      <c r="B8" s="1232"/>
      <c r="C8" s="743" t="s">
        <v>429</v>
      </c>
      <c r="D8" s="739" t="s">
        <v>427</v>
      </c>
      <c r="E8" s="744"/>
      <c r="F8" s="734">
        <v>0</v>
      </c>
      <c r="G8" s="734">
        <v>580</v>
      </c>
      <c r="H8" s="734"/>
      <c r="I8" s="734"/>
      <c r="J8" s="734"/>
      <c r="K8" s="1235"/>
    </row>
    <row r="9" spans="1:11">
      <c r="A9" s="1232"/>
      <c r="B9" s="1232"/>
      <c r="C9" s="739" t="s">
        <v>12</v>
      </c>
      <c r="D9" s="739" t="s">
        <v>427</v>
      </c>
      <c r="E9" s="745"/>
      <c r="F9" s="735">
        <v>0</v>
      </c>
      <c r="G9" s="735">
        <v>66</v>
      </c>
      <c r="H9" s="735"/>
      <c r="I9" s="735"/>
      <c r="J9" s="735"/>
      <c r="K9" s="1235"/>
    </row>
    <row r="10" spans="1:11" ht="26.1">
      <c r="A10" s="1232"/>
      <c r="B10" s="1232"/>
      <c r="C10" s="743" t="s">
        <v>430</v>
      </c>
      <c r="D10" s="739" t="s">
        <v>427</v>
      </c>
      <c r="E10" s="746"/>
      <c r="F10" s="734">
        <v>0</v>
      </c>
      <c r="G10" s="734">
        <v>6</v>
      </c>
      <c r="H10" s="747"/>
      <c r="I10" s="747"/>
      <c r="J10" s="747"/>
      <c r="K10" s="1235"/>
    </row>
    <row r="11" spans="1:11">
      <c r="A11" s="1232"/>
      <c r="B11" s="1232"/>
      <c r="C11" s="739" t="s">
        <v>12</v>
      </c>
      <c r="D11" s="739" t="s">
        <v>427</v>
      </c>
      <c r="E11" s="745"/>
      <c r="F11" s="735">
        <v>0</v>
      </c>
      <c r="G11" s="735">
        <v>3</v>
      </c>
      <c r="H11" s="735"/>
      <c r="I11" s="735"/>
      <c r="J11" s="735"/>
      <c r="K11" s="1235"/>
    </row>
    <row r="12" spans="1:11" ht="12.95">
      <c r="A12" s="1232"/>
      <c r="B12" s="1232"/>
      <c r="C12" s="1052" t="s">
        <v>148</v>
      </c>
      <c r="D12" s="1052"/>
      <c r="E12" s="1052"/>
      <c r="F12" s="1052"/>
      <c r="G12" s="1052"/>
      <c r="H12" s="1052"/>
      <c r="I12" s="1052"/>
      <c r="J12" s="1052"/>
      <c r="K12" s="1235"/>
    </row>
    <row r="13" spans="1:11">
      <c r="A13" s="1232"/>
      <c r="B13" s="1232"/>
      <c r="C13" s="1053"/>
      <c r="D13" s="1053"/>
      <c r="E13" s="1053"/>
      <c r="F13" s="1053"/>
      <c r="G13" s="1053"/>
      <c r="H13" s="1053"/>
      <c r="I13" s="1053"/>
      <c r="J13" s="1053"/>
      <c r="K13" s="1235"/>
    </row>
    <row r="14" spans="1:11" ht="13.5" thickBot="1">
      <c r="A14" s="748" t="s">
        <v>33</v>
      </c>
      <c r="B14" s="748" t="s">
        <v>34</v>
      </c>
      <c r="C14" s="2"/>
      <c r="D14" s="3"/>
      <c r="E14" s="749" t="str">
        <f t="shared" ref="E14:J14" si="0">E$2</f>
        <v>Baseline (Aug.-2023)</v>
      </c>
      <c r="F14" s="750">
        <f t="shared" si="0"/>
        <v>45382</v>
      </c>
      <c r="G14" s="750">
        <f t="shared" si="0"/>
        <v>45747</v>
      </c>
      <c r="H14" s="750">
        <f t="shared" si="0"/>
        <v>46082</v>
      </c>
      <c r="I14" s="750">
        <f t="shared" si="0"/>
        <v>46447</v>
      </c>
      <c r="J14" s="750">
        <f t="shared" si="0"/>
        <v>46722</v>
      </c>
      <c r="K14" s="749" t="s">
        <v>35</v>
      </c>
    </row>
    <row r="15" spans="1:11" ht="26.1">
      <c r="A15" s="1038" t="s">
        <v>36</v>
      </c>
      <c r="B15" s="1232" t="s">
        <v>431</v>
      </c>
      <c r="C15" s="580" t="s">
        <v>432</v>
      </c>
      <c r="D15" s="740" t="s">
        <v>427</v>
      </c>
      <c r="E15" s="511">
        <v>0</v>
      </c>
      <c r="F15" s="511">
        <v>0</v>
      </c>
      <c r="G15" s="751">
        <v>1110800.9690004552</v>
      </c>
      <c r="H15" s="751">
        <v>2864129.7960275649</v>
      </c>
      <c r="I15" s="751">
        <v>5631648.0657050926</v>
      </c>
      <c r="J15" s="752">
        <v>10000000</v>
      </c>
    </row>
    <row r="16" spans="1:11" ht="24.95">
      <c r="A16" s="1038"/>
      <c r="B16" s="1232"/>
      <c r="C16" s="740" t="s">
        <v>41</v>
      </c>
      <c r="D16" s="740" t="s">
        <v>427</v>
      </c>
      <c r="E16" s="510">
        <v>0</v>
      </c>
      <c r="F16" s="510">
        <v>0</v>
      </c>
      <c r="G16" s="510">
        <v>333240.29070013657</v>
      </c>
      <c r="H16" s="510">
        <v>859238.93880826957</v>
      </c>
      <c r="I16" s="510">
        <v>1689494.4197115279</v>
      </c>
      <c r="J16" s="754">
        <v>3000000</v>
      </c>
    </row>
    <row r="17" spans="1:12" ht="26.1">
      <c r="A17" s="1038"/>
      <c r="B17" s="1232"/>
      <c r="C17" s="580" t="s">
        <v>433</v>
      </c>
      <c r="D17" s="740" t="s">
        <v>427</v>
      </c>
      <c r="E17" s="511">
        <v>0</v>
      </c>
      <c r="F17" s="511">
        <v>0</v>
      </c>
      <c r="G17" s="511">
        <v>1110800.9690004552</v>
      </c>
      <c r="H17" s="511">
        <v>2864129.7960275649</v>
      </c>
      <c r="I17" s="511">
        <v>5631648.0657050926</v>
      </c>
      <c r="J17" s="511">
        <v>10000000</v>
      </c>
    </row>
    <row r="18" spans="1:12" ht="24.95">
      <c r="A18" s="1038"/>
      <c r="B18" s="1232"/>
      <c r="C18" s="740" t="s">
        <v>41</v>
      </c>
      <c r="D18" s="740" t="s">
        <v>427</v>
      </c>
      <c r="E18" s="510">
        <f>E17*30%</f>
        <v>0</v>
      </c>
      <c r="F18" s="510">
        <f t="shared" ref="F18:J18" si="1">F17*30%</f>
        <v>0</v>
      </c>
      <c r="G18" s="510">
        <f t="shared" si="1"/>
        <v>333240.29070013657</v>
      </c>
      <c r="H18" s="510">
        <f t="shared" si="1"/>
        <v>859238.93880826945</v>
      </c>
      <c r="I18" s="510">
        <f t="shared" si="1"/>
        <v>1689494.4197115276</v>
      </c>
      <c r="J18" s="510">
        <f t="shared" si="1"/>
        <v>3000000</v>
      </c>
    </row>
    <row r="19" spans="1:12" ht="37.5">
      <c r="A19" s="1038"/>
      <c r="B19" s="1232"/>
      <c r="C19" s="580" t="s">
        <v>434</v>
      </c>
      <c r="D19" s="740" t="s">
        <v>427</v>
      </c>
      <c r="E19" s="511">
        <v>0</v>
      </c>
      <c r="F19" s="511">
        <v>0</v>
      </c>
      <c r="G19" s="593" t="s">
        <v>435</v>
      </c>
      <c r="H19" s="511"/>
      <c r="I19" s="511"/>
      <c r="J19" s="511"/>
    </row>
    <row r="20" spans="1:12" ht="37.5">
      <c r="A20" s="1038"/>
      <c r="B20" s="1232"/>
      <c r="C20" s="740" t="s">
        <v>41</v>
      </c>
      <c r="D20" s="740" t="s">
        <v>427</v>
      </c>
      <c r="E20" s="510">
        <f>E19*30%</f>
        <v>0</v>
      </c>
      <c r="F20" s="510">
        <f>F19*30%</f>
        <v>0</v>
      </c>
      <c r="G20" s="593" t="s">
        <v>435</v>
      </c>
      <c r="H20" s="510"/>
      <c r="I20" s="510"/>
      <c r="J20" s="510"/>
    </row>
    <row r="21" spans="1:12" s="757" customFormat="1" ht="26.1">
      <c r="A21" s="1038"/>
      <c r="B21" s="1232"/>
      <c r="C21" s="577" t="s">
        <v>436</v>
      </c>
      <c r="D21" s="755" t="s">
        <v>427</v>
      </c>
      <c r="E21" s="516"/>
      <c r="F21" s="512">
        <v>0</v>
      </c>
      <c r="G21" s="513">
        <v>1119400</v>
      </c>
      <c r="H21" s="513"/>
      <c r="I21" s="513"/>
      <c r="J21" s="513"/>
      <c r="K21" s="756"/>
    </row>
    <row r="22" spans="1:12" s="757" customFormat="1" ht="24.95">
      <c r="A22" s="1038"/>
      <c r="B22" s="1232"/>
      <c r="C22" s="755" t="s">
        <v>41</v>
      </c>
      <c r="D22" s="755" t="s">
        <v>427</v>
      </c>
      <c r="E22" s="516"/>
      <c r="F22" s="512">
        <v>0</v>
      </c>
      <c r="G22" s="512">
        <v>418000</v>
      </c>
      <c r="H22" s="512"/>
      <c r="I22" s="512"/>
      <c r="J22" s="512"/>
      <c r="K22" s="756"/>
    </row>
    <row r="23" spans="1:12" ht="26.1">
      <c r="A23" s="1038"/>
      <c r="B23" s="1232"/>
      <c r="C23" s="743" t="s">
        <v>437</v>
      </c>
      <c r="D23" s="755" t="s">
        <v>427</v>
      </c>
      <c r="E23" s="516"/>
      <c r="F23" s="513">
        <v>0</v>
      </c>
      <c r="G23" s="513">
        <v>701400</v>
      </c>
      <c r="H23" s="512"/>
      <c r="I23" s="512"/>
      <c r="J23" s="512"/>
    </row>
    <row r="24" spans="1:12" ht="24.95">
      <c r="A24" s="1038"/>
      <c r="B24" s="1232"/>
      <c r="C24" s="739" t="s">
        <v>41</v>
      </c>
      <c r="D24" s="755" t="s">
        <v>427</v>
      </c>
      <c r="E24" s="516"/>
      <c r="F24" s="512">
        <v>0</v>
      </c>
      <c r="G24" s="512">
        <v>0</v>
      </c>
      <c r="H24" s="512"/>
      <c r="I24" s="512"/>
      <c r="J24" s="512"/>
    </row>
    <row r="25" spans="1:12" ht="26.1">
      <c r="A25" s="1038"/>
      <c r="B25" s="1232"/>
      <c r="C25" s="743" t="s">
        <v>438</v>
      </c>
      <c r="D25" s="755" t="s">
        <v>427</v>
      </c>
      <c r="E25" s="516"/>
      <c r="F25" s="513">
        <v>0</v>
      </c>
      <c r="G25" s="512">
        <v>418000</v>
      </c>
      <c r="H25" s="512"/>
      <c r="I25" s="512"/>
      <c r="J25" s="512"/>
    </row>
    <row r="26" spans="1:12" ht="24.95">
      <c r="A26" s="1038"/>
      <c r="B26" s="1232"/>
      <c r="C26" s="739" t="s">
        <v>41</v>
      </c>
      <c r="D26" s="755" t="s">
        <v>427</v>
      </c>
      <c r="E26" s="516"/>
      <c r="F26" s="512">
        <v>0</v>
      </c>
      <c r="G26" s="512">
        <v>0</v>
      </c>
      <c r="H26" s="512"/>
      <c r="I26" s="512"/>
      <c r="J26" s="512"/>
    </row>
    <row r="27" spans="1:12" ht="12.95">
      <c r="A27" s="1038"/>
      <c r="B27" s="1232"/>
      <c r="C27" s="1052" t="s">
        <v>148</v>
      </c>
      <c r="D27" s="1052"/>
      <c r="E27" s="1052"/>
      <c r="F27" s="1052"/>
      <c r="G27" s="1052"/>
      <c r="H27" s="1052"/>
      <c r="I27" s="1052"/>
      <c r="J27" s="1052"/>
    </row>
    <row r="28" spans="1:12" s="753" customFormat="1">
      <c r="A28" s="1038"/>
      <c r="B28" s="1232"/>
      <c r="C28" s="1053"/>
      <c r="D28" s="1053"/>
      <c r="E28" s="1053"/>
      <c r="F28" s="1053"/>
      <c r="G28" s="1053"/>
      <c r="H28" s="1053"/>
      <c r="I28" s="1053"/>
      <c r="J28" s="1053"/>
    </row>
    <row r="29" spans="1:12" ht="12.95">
      <c r="A29" s="1038"/>
      <c r="B29" s="737" t="s">
        <v>43</v>
      </c>
      <c r="C29" s="582"/>
      <c r="D29" s="585"/>
      <c r="E29" s="583" t="str">
        <f t="shared" ref="E29:J29" si="2">E$2</f>
        <v>Baseline (Aug.-2023)</v>
      </c>
      <c r="F29" s="584">
        <f t="shared" si="2"/>
        <v>45382</v>
      </c>
      <c r="G29" s="584">
        <f t="shared" si="2"/>
        <v>45747</v>
      </c>
      <c r="H29" s="584">
        <f t="shared" si="2"/>
        <v>46082</v>
      </c>
      <c r="I29" s="584">
        <f t="shared" si="2"/>
        <v>46447</v>
      </c>
      <c r="J29" s="584">
        <f t="shared" si="2"/>
        <v>46722</v>
      </c>
      <c r="K29" s="749" t="s">
        <v>35</v>
      </c>
    </row>
    <row r="30" spans="1:12" ht="26.1">
      <c r="A30" s="1038"/>
      <c r="B30" s="1232" t="s">
        <v>439</v>
      </c>
      <c r="C30" s="758" t="s">
        <v>440</v>
      </c>
      <c r="D30" s="759" t="s">
        <v>427</v>
      </c>
      <c r="E30" s="511">
        <v>0</v>
      </c>
      <c r="F30" s="511">
        <v>0</v>
      </c>
      <c r="G30" s="511">
        <v>833100.72675034148</v>
      </c>
      <c r="H30" s="511">
        <v>2148097.3470206736</v>
      </c>
      <c r="I30" s="511">
        <v>4223736.0492788199</v>
      </c>
      <c r="J30" s="511">
        <v>7500000</v>
      </c>
      <c r="L30" s="760"/>
    </row>
    <row r="31" spans="1:12" ht="24.95">
      <c r="A31" s="1038"/>
      <c r="B31" s="1232"/>
      <c r="C31" s="759" t="s">
        <v>41</v>
      </c>
      <c r="D31" s="759" t="s">
        <v>427</v>
      </c>
      <c r="E31" s="510">
        <v>0</v>
      </c>
      <c r="F31" s="510">
        <v>0</v>
      </c>
      <c r="G31" s="510">
        <v>249930.21802510243</v>
      </c>
      <c r="H31" s="510">
        <v>644429.20410620212</v>
      </c>
      <c r="I31" s="510">
        <v>1267120.8147836458</v>
      </c>
      <c r="J31" s="510">
        <v>2250000</v>
      </c>
    </row>
    <row r="32" spans="1:12" ht="39">
      <c r="A32" s="1038"/>
      <c r="B32" s="1232"/>
      <c r="C32" s="758" t="s">
        <v>441</v>
      </c>
      <c r="D32" s="759" t="s">
        <v>427</v>
      </c>
      <c r="E32" s="511">
        <v>0</v>
      </c>
      <c r="F32" s="511">
        <v>0</v>
      </c>
      <c r="G32" s="511">
        <v>833100.72675034148</v>
      </c>
      <c r="H32" s="511">
        <v>2148097.3470206736</v>
      </c>
      <c r="I32" s="511">
        <v>4223736.0492788199</v>
      </c>
      <c r="J32" s="511">
        <v>7500000</v>
      </c>
    </row>
    <row r="33" spans="1:12" ht="24.95">
      <c r="A33" s="1038"/>
      <c r="B33" s="1232"/>
      <c r="C33" s="759" t="s">
        <v>41</v>
      </c>
      <c r="D33" s="759" t="s">
        <v>427</v>
      </c>
      <c r="E33" s="510">
        <f>E32*30%</f>
        <v>0</v>
      </c>
      <c r="F33" s="510">
        <f t="shared" ref="F33:J33" si="3">F32*30%</f>
        <v>0</v>
      </c>
      <c r="G33" s="510">
        <f t="shared" si="3"/>
        <v>249930.21802510243</v>
      </c>
      <c r="H33" s="510">
        <f t="shared" si="3"/>
        <v>644429.204106202</v>
      </c>
      <c r="I33" s="510">
        <f t="shared" si="3"/>
        <v>1267120.814783646</v>
      </c>
      <c r="J33" s="510">
        <f t="shared" si="3"/>
        <v>2250000</v>
      </c>
    </row>
    <row r="34" spans="1:12" ht="39">
      <c r="A34" s="1038"/>
      <c r="B34" s="1232"/>
      <c r="C34" s="758" t="s">
        <v>442</v>
      </c>
      <c r="D34" s="759" t="s">
        <v>427</v>
      </c>
      <c r="E34" s="511">
        <v>0</v>
      </c>
      <c r="F34" s="511">
        <v>0</v>
      </c>
      <c r="G34" s="593" t="s">
        <v>435</v>
      </c>
      <c r="H34" s="510"/>
      <c r="I34" s="510"/>
      <c r="J34" s="510"/>
    </row>
    <row r="35" spans="1:12" ht="37.5">
      <c r="A35" s="1038"/>
      <c r="B35" s="1232"/>
      <c r="C35" s="759" t="s">
        <v>41</v>
      </c>
      <c r="D35" s="759" t="s">
        <v>427</v>
      </c>
      <c r="E35" s="510">
        <f>E34*30%</f>
        <v>0</v>
      </c>
      <c r="F35" s="510">
        <f>F34*30%</f>
        <v>0</v>
      </c>
      <c r="G35" s="593" t="s">
        <v>435</v>
      </c>
      <c r="H35" s="510"/>
      <c r="I35" s="510"/>
      <c r="J35" s="510"/>
    </row>
    <row r="36" spans="1:12" ht="26.1">
      <c r="A36" s="1038"/>
      <c r="B36" s="1232"/>
      <c r="C36" s="577" t="s">
        <v>443</v>
      </c>
      <c r="D36" s="755" t="s">
        <v>427</v>
      </c>
      <c r="E36" s="516"/>
      <c r="F36" s="512">
        <v>0</v>
      </c>
      <c r="G36" s="513">
        <v>858000</v>
      </c>
      <c r="H36" s="512"/>
      <c r="I36" s="512"/>
      <c r="J36" s="512"/>
    </row>
    <row r="37" spans="1:12" ht="24.95">
      <c r="A37" s="1038"/>
      <c r="B37" s="1232"/>
      <c r="C37" s="755" t="s">
        <v>41</v>
      </c>
      <c r="D37" s="755" t="s">
        <v>427</v>
      </c>
      <c r="E37" s="516"/>
      <c r="F37" s="512">
        <v>0</v>
      </c>
      <c r="G37" s="512">
        <v>418000</v>
      </c>
      <c r="H37" s="512"/>
      <c r="I37" s="512"/>
      <c r="J37" s="512"/>
    </row>
    <row r="38" spans="1:12" ht="39">
      <c r="A38" s="1038"/>
      <c r="B38" s="1232"/>
      <c r="C38" s="743" t="s">
        <v>444</v>
      </c>
      <c r="D38" s="755" t="s">
        <v>427</v>
      </c>
      <c r="E38" s="516"/>
      <c r="F38" s="513">
        <v>0</v>
      </c>
      <c r="G38" s="513">
        <v>0</v>
      </c>
      <c r="H38" s="512"/>
      <c r="I38" s="512"/>
      <c r="J38" s="512"/>
    </row>
    <row r="39" spans="1:12" ht="24.95">
      <c r="A39" s="1038"/>
      <c r="B39" s="1232"/>
      <c r="C39" s="739" t="s">
        <v>41</v>
      </c>
      <c r="D39" s="755" t="s">
        <v>427</v>
      </c>
      <c r="E39" s="516"/>
      <c r="F39" s="512">
        <v>0</v>
      </c>
      <c r="G39" s="512">
        <v>0</v>
      </c>
      <c r="H39" s="512"/>
      <c r="I39" s="512"/>
      <c r="J39" s="512"/>
    </row>
    <row r="40" spans="1:12" ht="39">
      <c r="A40" s="1038"/>
      <c r="B40" s="1232"/>
      <c r="C40" s="743" t="s">
        <v>445</v>
      </c>
      <c r="D40" s="755" t="s">
        <v>427</v>
      </c>
      <c r="E40" s="516"/>
      <c r="F40" s="513">
        <v>0</v>
      </c>
      <c r="G40" s="513">
        <v>418000</v>
      </c>
      <c r="H40" s="512"/>
      <c r="I40" s="512"/>
      <c r="J40" s="512"/>
    </row>
    <row r="41" spans="1:12" ht="24.95">
      <c r="A41" s="1038"/>
      <c r="B41" s="1232"/>
      <c r="C41" s="739" t="s">
        <v>41</v>
      </c>
      <c r="D41" s="755" t="s">
        <v>427</v>
      </c>
      <c r="E41" s="516"/>
      <c r="F41" s="512">
        <v>0</v>
      </c>
      <c r="G41" s="512">
        <v>418000</v>
      </c>
      <c r="H41" s="512"/>
      <c r="I41" s="512"/>
      <c r="J41" s="512"/>
    </row>
    <row r="42" spans="1:12" ht="12.95">
      <c r="A42" s="1038"/>
      <c r="B42" s="1232"/>
      <c r="C42" s="1052" t="s">
        <v>148</v>
      </c>
      <c r="D42" s="1052"/>
      <c r="E42" s="1052"/>
      <c r="F42" s="1052"/>
      <c r="G42" s="1052"/>
      <c r="H42" s="1052"/>
      <c r="I42" s="1052"/>
      <c r="J42" s="1052"/>
    </row>
    <row r="43" spans="1:12" s="753" customFormat="1">
      <c r="A43" s="1038"/>
      <c r="B43" s="1232"/>
      <c r="C43" s="1053"/>
      <c r="D43" s="1053"/>
      <c r="E43" s="1053"/>
      <c r="F43" s="1053"/>
      <c r="G43" s="1053"/>
      <c r="H43" s="1053"/>
      <c r="I43" s="1053"/>
      <c r="J43" s="1053"/>
    </row>
    <row r="44" spans="1:12" ht="12.95">
      <c r="A44" s="1038"/>
      <c r="B44" s="737" t="s">
        <v>47</v>
      </c>
      <c r="C44" s="582"/>
      <c r="D44" s="585"/>
      <c r="E44" s="583" t="str">
        <f t="shared" ref="E44:J44" si="4">E$2</f>
        <v>Baseline (Aug.-2023)</v>
      </c>
      <c r="F44" s="584">
        <f t="shared" si="4"/>
        <v>45382</v>
      </c>
      <c r="G44" s="584">
        <f t="shared" si="4"/>
        <v>45747</v>
      </c>
      <c r="H44" s="584">
        <f t="shared" si="4"/>
        <v>46082</v>
      </c>
      <c r="I44" s="584">
        <f t="shared" si="4"/>
        <v>46447</v>
      </c>
      <c r="J44" s="584">
        <f t="shared" si="4"/>
        <v>46722</v>
      </c>
    </row>
    <row r="45" spans="1:12" ht="12.95">
      <c r="A45" s="1038"/>
      <c r="B45" s="1232" t="s">
        <v>446</v>
      </c>
      <c r="C45" s="580" t="s">
        <v>447</v>
      </c>
      <c r="D45" s="740" t="s">
        <v>427</v>
      </c>
      <c r="E45" s="515">
        <v>0</v>
      </c>
      <c r="F45" s="515">
        <v>0</v>
      </c>
      <c r="G45" s="515">
        <v>0</v>
      </c>
      <c r="H45" s="515">
        <v>1744576.3018700946</v>
      </c>
      <c r="I45" s="515">
        <v>4766271.094389718</v>
      </c>
      <c r="J45" s="741">
        <v>10000000</v>
      </c>
      <c r="L45" s="760"/>
    </row>
    <row r="46" spans="1:12" ht="24.95">
      <c r="A46" s="1038"/>
      <c r="B46" s="1232"/>
      <c r="C46" s="740" t="s">
        <v>41</v>
      </c>
      <c r="D46" s="740" t="s">
        <v>427</v>
      </c>
      <c r="E46" s="514">
        <v>0</v>
      </c>
      <c r="F46" s="514">
        <v>0</v>
      </c>
      <c r="G46" s="514">
        <v>0</v>
      </c>
      <c r="H46" s="514">
        <v>523372.89056102838</v>
      </c>
      <c r="I46" s="514">
        <v>1429881.3283169153</v>
      </c>
      <c r="J46" s="742">
        <v>3000000</v>
      </c>
      <c r="K46" s="753">
        <v>3000000</v>
      </c>
      <c r="L46" s="760"/>
    </row>
    <row r="47" spans="1:12" ht="26.1">
      <c r="A47" s="1038"/>
      <c r="B47" s="1232"/>
      <c r="C47" s="580" t="s">
        <v>448</v>
      </c>
      <c r="D47" s="580" t="s">
        <v>427</v>
      </c>
      <c r="E47" s="515">
        <v>0</v>
      </c>
      <c r="F47" s="515">
        <v>0</v>
      </c>
      <c r="G47" s="515">
        <v>0</v>
      </c>
      <c r="H47" s="515">
        <v>872288.15093504731</v>
      </c>
      <c r="I47" s="515">
        <v>2383135.547194859</v>
      </c>
      <c r="J47" s="741">
        <v>5000000</v>
      </c>
      <c r="L47" s="760"/>
    </row>
    <row r="48" spans="1:12" ht="24.95">
      <c r="A48" s="1038"/>
      <c r="B48" s="1232"/>
      <c r="C48" s="740" t="s">
        <v>41</v>
      </c>
      <c r="D48" s="740" t="s">
        <v>427</v>
      </c>
      <c r="E48" s="514">
        <v>0</v>
      </c>
      <c r="F48" s="514">
        <v>0</v>
      </c>
      <c r="G48" s="514">
        <v>0</v>
      </c>
      <c r="H48" s="514">
        <v>261686.44528051419</v>
      </c>
      <c r="I48" s="514">
        <v>714940.66415845766</v>
      </c>
      <c r="J48" s="742">
        <v>1500000</v>
      </c>
      <c r="L48" s="760"/>
    </row>
    <row r="49" spans="1:12" ht="12.95">
      <c r="A49" s="1038"/>
      <c r="B49" s="1232"/>
      <c r="C49" s="577" t="s">
        <v>449</v>
      </c>
      <c r="D49" s="577" t="s">
        <v>427</v>
      </c>
      <c r="E49" s="516"/>
      <c r="F49" s="5">
        <v>0</v>
      </c>
      <c r="G49" s="980">
        <v>538312</v>
      </c>
      <c r="H49" s="979">
        <v>0</v>
      </c>
      <c r="I49" s="5"/>
      <c r="J49" s="761"/>
      <c r="L49" s="760"/>
    </row>
    <row r="50" spans="1:12" ht="24.95">
      <c r="A50" s="1038"/>
      <c r="B50" s="1232"/>
      <c r="C50" s="755" t="s">
        <v>41</v>
      </c>
      <c r="D50" s="755" t="s">
        <v>427</v>
      </c>
      <c r="E50" s="516"/>
      <c r="F50" s="762">
        <v>0</v>
      </c>
      <c r="G50" s="762">
        <v>0</v>
      </c>
      <c r="H50" s="762">
        <v>0</v>
      </c>
      <c r="I50" s="5"/>
      <c r="J50" s="761"/>
      <c r="L50" s="760"/>
    </row>
    <row r="51" spans="1:12" ht="26.1">
      <c r="A51" s="1038"/>
      <c r="B51" s="1232"/>
      <c r="C51" s="577" t="s">
        <v>450</v>
      </c>
      <c r="D51" s="577" t="s">
        <v>427</v>
      </c>
      <c r="E51" s="516"/>
      <c r="F51" s="5">
        <v>0</v>
      </c>
      <c r="G51" s="980">
        <v>22620</v>
      </c>
      <c r="H51" s="979">
        <v>0</v>
      </c>
      <c r="I51" s="5"/>
      <c r="J51" s="761"/>
      <c r="L51" s="760"/>
    </row>
    <row r="52" spans="1:12" ht="24.95">
      <c r="A52" s="1038"/>
      <c r="B52" s="1232"/>
      <c r="C52" s="755" t="s">
        <v>41</v>
      </c>
      <c r="D52" s="755" t="s">
        <v>427</v>
      </c>
      <c r="E52" s="516"/>
      <c r="F52" s="762">
        <v>0</v>
      </c>
      <c r="G52" s="762">
        <v>0</v>
      </c>
      <c r="H52" s="762">
        <v>0</v>
      </c>
      <c r="I52" s="4"/>
      <c r="J52" s="763"/>
      <c r="L52" s="760"/>
    </row>
    <row r="53" spans="1:12" ht="12.95">
      <c r="A53" s="1038"/>
      <c r="B53" s="1232"/>
      <c r="C53" s="1052" t="s">
        <v>148</v>
      </c>
      <c r="D53" s="1052"/>
      <c r="E53" s="1052"/>
      <c r="F53" s="1052"/>
      <c r="G53" s="1052"/>
      <c r="H53" s="1052"/>
      <c r="I53" s="1052"/>
      <c r="J53" s="1052"/>
    </row>
    <row r="54" spans="1:12">
      <c r="A54" s="1038"/>
      <c r="B54" s="1232"/>
      <c r="C54" s="1053"/>
      <c r="D54" s="1053"/>
      <c r="E54" s="1053"/>
      <c r="F54" s="1053"/>
      <c r="G54" s="1053"/>
      <c r="H54" s="1053"/>
      <c r="I54" s="1053"/>
      <c r="J54" s="1053"/>
    </row>
    <row r="55" spans="1:12" s="753" customFormat="1" ht="12.95">
      <c r="A55" s="1038"/>
      <c r="B55" s="737" t="s">
        <v>55</v>
      </c>
      <c r="C55" s="582"/>
      <c r="D55" s="585"/>
      <c r="E55" s="583" t="str">
        <f t="shared" ref="E55:J55" si="5">E$2</f>
        <v>Baseline (Aug.-2023)</v>
      </c>
      <c r="F55" s="584">
        <f t="shared" si="5"/>
        <v>45382</v>
      </c>
      <c r="G55" s="584">
        <f t="shared" si="5"/>
        <v>45747</v>
      </c>
      <c r="H55" s="584">
        <f t="shared" si="5"/>
        <v>46082</v>
      </c>
      <c r="I55" s="584">
        <f t="shared" si="5"/>
        <v>46447</v>
      </c>
      <c r="J55" s="584">
        <f t="shared" si="5"/>
        <v>46722</v>
      </c>
    </row>
    <row r="56" spans="1:12" s="753" customFormat="1" ht="65.099999999999994">
      <c r="A56" s="1038"/>
      <c r="B56" s="1233" t="s">
        <v>451</v>
      </c>
      <c r="C56" s="580" t="s">
        <v>452</v>
      </c>
      <c r="D56" s="740" t="s">
        <v>427</v>
      </c>
      <c r="E56" s="741">
        <v>0</v>
      </c>
      <c r="F56" s="741">
        <v>0</v>
      </c>
      <c r="G56" s="742">
        <v>2</v>
      </c>
      <c r="H56" s="742">
        <v>5</v>
      </c>
      <c r="I56" s="742">
        <v>8</v>
      </c>
      <c r="J56" s="742">
        <v>12</v>
      </c>
    </row>
    <row r="57" spans="1:12" s="753" customFormat="1" ht="37.5">
      <c r="A57" s="1038"/>
      <c r="B57" s="1233"/>
      <c r="C57" s="740" t="s">
        <v>453</v>
      </c>
      <c r="D57" s="740" t="s">
        <v>427</v>
      </c>
      <c r="E57" s="742">
        <v>0</v>
      </c>
      <c r="F57" s="742">
        <v>0</v>
      </c>
      <c r="G57" s="742">
        <v>2</v>
      </c>
      <c r="H57" s="742">
        <v>5</v>
      </c>
      <c r="I57" s="742">
        <v>8</v>
      </c>
      <c r="J57" s="742">
        <v>10</v>
      </c>
    </row>
    <row r="58" spans="1:12" s="753" customFormat="1" ht="37.5">
      <c r="A58" s="1038"/>
      <c r="B58" s="1233"/>
      <c r="C58" s="740" t="s">
        <v>454</v>
      </c>
      <c r="D58" s="740" t="s">
        <v>427</v>
      </c>
      <c r="E58" s="742">
        <v>0</v>
      </c>
      <c r="F58" s="742">
        <v>0</v>
      </c>
      <c r="G58" s="742">
        <v>0</v>
      </c>
      <c r="H58" s="742">
        <v>0</v>
      </c>
      <c r="I58" s="742">
        <v>0</v>
      </c>
      <c r="J58" s="742">
        <v>2</v>
      </c>
    </row>
    <row r="59" spans="1:12" s="753" customFormat="1" ht="65.099999999999994">
      <c r="A59" s="1038"/>
      <c r="B59" s="1233"/>
      <c r="C59" s="577" t="s">
        <v>455</v>
      </c>
      <c r="D59" s="755" t="s">
        <v>427</v>
      </c>
      <c r="E59" s="761">
        <v>0</v>
      </c>
      <c r="F59" s="761">
        <v>0</v>
      </c>
      <c r="G59" s="763">
        <v>3</v>
      </c>
      <c r="H59" s="763"/>
      <c r="I59" s="763"/>
      <c r="J59" s="763"/>
    </row>
    <row r="60" spans="1:12" s="753" customFormat="1" ht="37.5">
      <c r="A60" s="1038"/>
      <c r="B60" s="1233"/>
      <c r="C60" s="755" t="s">
        <v>456</v>
      </c>
      <c r="D60" s="755" t="s">
        <v>427</v>
      </c>
      <c r="E60" s="763">
        <v>0</v>
      </c>
      <c r="F60" s="763">
        <v>0</v>
      </c>
      <c r="G60" s="763">
        <v>3</v>
      </c>
      <c r="H60" s="763"/>
      <c r="I60" s="763"/>
      <c r="J60" s="763"/>
    </row>
    <row r="61" spans="1:12" s="753" customFormat="1" ht="37.5">
      <c r="A61" s="1038"/>
      <c r="B61" s="1233"/>
      <c r="C61" s="755" t="s">
        <v>457</v>
      </c>
      <c r="D61" s="755" t="s">
        <v>427</v>
      </c>
      <c r="E61" s="763">
        <v>0</v>
      </c>
      <c r="F61" s="763">
        <v>0</v>
      </c>
      <c r="G61" s="763">
        <v>0</v>
      </c>
      <c r="H61" s="763"/>
      <c r="I61" s="763"/>
      <c r="J61" s="763"/>
    </row>
    <row r="62" spans="1:12" s="753" customFormat="1" ht="12.95">
      <c r="A62" s="1038"/>
      <c r="B62" s="1233"/>
      <c r="C62" s="1052" t="s">
        <v>148</v>
      </c>
      <c r="D62" s="1052"/>
      <c r="E62" s="1052"/>
      <c r="F62" s="1052"/>
      <c r="G62" s="1052"/>
      <c r="H62" s="1052"/>
      <c r="I62" s="1052"/>
      <c r="J62" s="1052"/>
    </row>
    <row r="63" spans="1:12" s="753" customFormat="1">
      <c r="A63" s="1038"/>
      <c r="B63" s="1233"/>
      <c r="C63" s="1053"/>
      <c r="D63" s="1053"/>
      <c r="E63" s="1053"/>
      <c r="F63" s="1053"/>
      <c r="G63" s="1053"/>
      <c r="H63" s="1053"/>
      <c r="I63" s="1053"/>
      <c r="J63" s="1053"/>
    </row>
    <row r="64" spans="1:12" ht="12.95">
      <c r="A64" s="1038"/>
      <c r="B64" s="737" t="s">
        <v>59</v>
      </c>
      <c r="C64" s="582"/>
      <c r="D64" s="585"/>
      <c r="E64" s="583" t="str">
        <f t="shared" ref="E64:J64" si="6">E$2</f>
        <v>Baseline (Aug.-2023)</v>
      </c>
      <c r="F64" s="584">
        <f t="shared" si="6"/>
        <v>45382</v>
      </c>
      <c r="G64" s="584">
        <f t="shared" si="6"/>
        <v>45747</v>
      </c>
      <c r="H64" s="584">
        <f t="shared" si="6"/>
        <v>46082</v>
      </c>
      <c r="I64" s="584">
        <f t="shared" si="6"/>
        <v>46447</v>
      </c>
      <c r="J64" s="584">
        <f t="shared" si="6"/>
        <v>46722</v>
      </c>
    </row>
    <row r="65" spans="1:11" ht="26.1">
      <c r="A65" s="1038"/>
      <c r="B65" s="1232" t="s">
        <v>458</v>
      </c>
      <c r="C65" s="580" t="s">
        <v>459</v>
      </c>
      <c r="D65" s="740" t="s">
        <v>427</v>
      </c>
      <c r="E65" s="741">
        <v>0</v>
      </c>
      <c r="F65" s="742">
        <v>0</v>
      </c>
      <c r="G65" s="742">
        <v>0</v>
      </c>
      <c r="H65" s="742">
        <v>130843</v>
      </c>
      <c r="I65" s="742">
        <v>357470</v>
      </c>
      <c r="J65" s="742">
        <v>750000</v>
      </c>
    </row>
    <row r="66" spans="1:11" ht="39">
      <c r="A66" s="1038"/>
      <c r="B66" s="1232"/>
      <c r="C66" s="577" t="s">
        <v>460</v>
      </c>
      <c r="D66" s="755" t="s">
        <v>427</v>
      </c>
      <c r="E66" s="764"/>
      <c r="F66" s="735">
        <v>0</v>
      </c>
      <c r="G66" s="735">
        <v>219</v>
      </c>
      <c r="H66" s="734"/>
      <c r="I66" s="734"/>
      <c r="J66" s="734"/>
    </row>
    <row r="67" spans="1:11" ht="12.95">
      <c r="A67" s="1038"/>
      <c r="B67" s="1232"/>
      <c r="C67" s="1052" t="s">
        <v>148</v>
      </c>
      <c r="D67" s="1052"/>
      <c r="E67" s="1052"/>
      <c r="F67" s="1052"/>
      <c r="G67" s="1052"/>
      <c r="H67" s="1052"/>
      <c r="I67" s="1052"/>
      <c r="J67" s="1052"/>
    </row>
    <row r="68" spans="1:11">
      <c r="A68" s="1038"/>
      <c r="B68" s="1232"/>
      <c r="C68" s="1053"/>
      <c r="D68" s="1053"/>
      <c r="E68" s="1053"/>
      <c r="F68" s="1053"/>
      <c r="G68" s="1053"/>
      <c r="H68" s="1053"/>
      <c r="I68" s="1053"/>
      <c r="J68" s="1053"/>
    </row>
    <row r="69" spans="1:11" ht="12.95">
      <c r="A69" s="1038"/>
      <c r="B69" s="737" t="s">
        <v>63</v>
      </c>
      <c r="C69" s="582"/>
      <c r="D69" s="585"/>
      <c r="E69" s="583" t="str">
        <f t="shared" ref="E69:J69" si="7">E$2</f>
        <v>Baseline (Aug.-2023)</v>
      </c>
      <c r="F69" s="584">
        <f t="shared" si="7"/>
        <v>45382</v>
      </c>
      <c r="G69" s="584">
        <f t="shared" si="7"/>
        <v>45747</v>
      </c>
      <c r="H69" s="584">
        <f t="shared" si="7"/>
        <v>46082</v>
      </c>
      <c r="I69" s="584">
        <f t="shared" si="7"/>
        <v>46447</v>
      </c>
      <c r="J69" s="584">
        <f t="shared" si="7"/>
        <v>46722</v>
      </c>
    </row>
    <row r="70" spans="1:11" ht="26.1">
      <c r="A70" s="1038"/>
      <c r="B70" s="1232" t="s">
        <v>461</v>
      </c>
      <c r="C70" s="580" t="s">
        <v>462</v>
      </c>
      <c r="D70" s="740" t="s">
        <v>427</v>
      </c>
      <c r="E70" s="741">
        <v>0</v>
      </c>
      <c r="F70" s="742">
        <v>0</v>
      </c>
      <c r="G70" s="742">
        <v>0</v>
      </c>
      <c r="H70" s="742">
        <v>117758.90037623138</v>
      </c>
      <c r="I70" s="742">
        <f>H70+67988</f>
        <v>185746.90037623138</v>
      </c>
      <c r="J70" s="742" t="e">
        <f>SUM(#REF!)</f>
        <v>#REF!</v>
      </c>
    </row>
    <row r="71" spans="1:11" ht="26.1">
      <c r="A71" s="1038"/>
      <c r="B71" s="1232"/>
      <c r="C71" s="577" t="s">
        <v>463</v>
      </c>
      <c r="D71" s="755" t="s">
        <v>427</v>
      </c>
      <c r="E71" s="764"/>
      <c r="F71" s="735">
        <v>0</v>
      </c>
      <c r="G71" s="735">
        <v>345163</v>
      </c>
      <c r="H71" s="734"/>
      <c r="I71" s="734"/>
      <c r="J71" s="734"/>
    </row>
    <row r="72" spans="1:11" ht="12.95">
      <c r="A72" s="1038"/>
      <c r="B72" s="1232"/>
      <c r="C72" s="1052" t="s">
        <v>148</v>
      </c>
      <c r="D72" s="1052"/>
      <c r="E72" s="1052"/>
      <c r="F72" s="1052"/>
      <c r="G72" s="1052"/>
      <c r="H72" s="1052"/>
      <c r="I72" s="1052"/>
      <c r="J72" s="1052"/>
    </row>
    <row r="73" spans="1:11">
      <c r="A73" s="1038"/>
      <c r="B73" s="1232"/>
      <c r="C73" s="1053"/>
      <c r="D73" s="1053"/>
      <c r="E73" s="1053"/>
      <c r="F73" s="1053"/>
      <c r="G73" s="1053"/>
      <c r="H73" s="1053"/>
      <c r="I73" s="1053"/>
      <c r="J73" s="1053"/>
    </row>
    <row r="74" spans="1:11" s="753" customFormat="1" ht="12.95">
      <c r="A74" s="1038"/>
      <c r="B74" s="737" t="s">
        <v>66</v>
      </c>
      <c r="C74" s="582"/>
      <c r="D74" s="585"/>
      <c r="E74" s="583" t="str">
        <f t="shared" ref="E74:J74" si="8">E$2</f>
        <v>Baseline (Aug.-2023)</v>
      </c>
      <c r="F74" s="584">
        <f t="shared" si="8"/>
        <v>45382</v>
      </c>
      <c r="G74" s="584">
        <f t="shared" si="8"/>
        <v>45747</v>
      </c>
      <c r="H74" s="584">
        <f t="shared" si="8"/>
        <v>46082</v>
      </c>
      <c r="I74" s="584">
        <f t="shared" si="8"/>
        <v>46447</v>
      </c>
      <c r="J74" s="584">
        <f t="shared" si="8"/>
        <v>46722</v>
      </c>
    </row>
    <row r="75" spans="1:11" s="753" customFormat="1" ht="12.95">
      <c r="A75" s="1038"/>
      <c r="B75" s="1038" t="s">
        <v>464</v>
      </c>
      <c r="C75" s="577" t="s">
        <v>29</v>
      </c>
      <c r="D75" s="755" t="s">
        <v>427</v>
      </c>
      <c r="E75" s="734">
        <v>0</v>
      </c>
      <c r="F75" s="735">
        <v>0</v>
      </c>
      <c r="G75" s="735">
        <v>0</v>
      </c>
      <c r="H75" s="735">
        <v>0</v>
      </c>
      <c r="I75" s="735">
        <v>1</v>
      </c>
      <c r="J75" s="735">
        <v>3</v>
      </c>
    </row>
    <row r="76" spans="1:11" s="753" customFormat="1" ht="12.95">
      <c r="A76" s="1038"/>
      <c r="B76" s="1038"/>
      <c r="C76" s="577" t="s">
        <v>31</v>
      </c>
      <c r="D76" s="755" t="s">
        <v>427</v>
      </c>
      <c r="E76" s="764"/>
      <c r="F76" s="734">
        <v>0</v>
      </c>
      <c r="G76" s="734"/>
      <c r="H76" s="734"/>
      <c r="I76" s="734"/>
      <c r="J76" s="734"/>
    </row>
    <row r="77" spans="1:11" s="753" customFormat="1" ht="12.95">
      <c r="A77" s="1038"/>
      <c r="B77" s="1038"/>
      <c r="C77" s="1052" t="s">
        <v>148</v>
      </c>
      <c r="D77" s="1052"/>
      <c r="E77" s="1052"/>
      <c r="F77" s="1052"/>
      <c r="G77" s="1052"/>
      <c r="H77" s="1052"/>
      <c r="I77" s="1052"/>
      <c r="J77" s="1052"/>
    </row>
    <row r="78" spans="1:11" s="753" customFormat="1">
      <c r="A78" s="1038"/>
      <c r="B78" s="1038"/>
      <c r="C78" s="1053"/>
      <c r="D78" s="1053"/>
      <c r="E78" s="1053"/>
      <c r="F78" s="1053"/>
      <c r="G78" s="1053"/>
      <c r="H78" s="1053"/>
      <c r="I78" s="1053"/>
      <c r="J78" s="1053"/>
    </row>
    <row r="79" spans="1:11" ht="12.95">
      <c r="A79" s="737" t="s">
        <v>465</v>
      </c>
      <c r="B79" s="737" t="s">
        <v>466</v>
      </c>
      <c r="C79" s="582"/>
      <c r="D79" s="585"/>
      <c r="E79" s="583" t="str">
        <f t="shared" ref="E79:J79" si="9">E$2</f>
        <v>Baseline (Aug.-2023)</v>
      </c>
      <c r="F79" s="584">
        <f t="shared" si="9"/>
        <v>45382</v>
      </c>
      <c r="G79" s="584">
        <f t="shared" si="9"/>
        <v>45747</v>
      </c>
      <c r="H79" s="584">
        <f t="shared" si="9"/>
        <v>46082</v>
      </c>
      <c r="I79" s="584">
        <f t="shared" si="9"/>
        <v>46447</v>
      </c>
      <c r="J79" s="584">
        <f t="shared" si="9"/>
        <v>46722</v>
      </c>
      <c r="K79" s="749" t="s">
        <v>35</v>
      </c>
    </row>
    <row r="80" spans="1:11" ht="37.5">
      <c r="A80" s="1230" t="s">
        <v>467</v>
      </c>
      <c r="B80" s="1038" t="s">
        <v>132</v>
      </c>
      <c r="C80" s="580" t="s">
        <v>133</v>
      </c>
      <c r="D80" s="740" t="s">
        <v>468</v>
      </c>
      <c r="E80" s="517" t="s">
        <v>142</v>
      </c>
      <c r="F80" s="765" t="s">
        <v>469</v>
      </c>
      <c r="G80" s="517">
        <v>3</v>
      </c>
      <c r="H80" s="766" t="s">
        <v>134</v>
      </c>
      <c r="I80" s="766" t="s">
        <v>134</v>
      </c>
      <c r="J80" s="766" t="s">
        <v>134</v>
      </c>
      <c r="K80" s="1231"/>
    </row>
    <row r="81" spans="1:11" ht="37.5">
      <c r="A81" s="1230"/>
      <c r="B81" s="1038"/>
      <c r="C81" s="740" t="s">
        <v>135</v>
      </c>
      <c r="D81" s="740" t="s">
        <v>468</v>
      </c>
      <c r="E81" s="517" t="s">
        <v>142</v>
      </c>
      <c r="F81" s="765" t="s">
        <v>469</v>
      </c>
      <c r="G81" s="517">
        <v>1</v>
      </c>
      <c r="H81" s="766" t="s">
        <v>134</v>
      </c>
      <c r="I81" s="766" t="s">
        <v>134</v>
      </c>
      <c r="J81" s="766" t="s">
        <v>134</v>
      </c>
      <c r="K81" s="1231"/>
    </row>
    <row r="82" spans="1:11" ht="37.5">
      <c r="A82" s="1230"/>
      <c r="B82" s="1038"/>
      <c r="C82" s="740" t="s">
        <v>136</v>
      </c>
      <c r="D82" s="740" t="s">
        <v>468</v>
      </c>
      <c r="E82" s="517" t="s">
        <v>142</v>
      </c>
      <c r="F82" s="765" t="s">
        <v>469</v>
      </c>
      <c r="G82" s="517">
        <v>0</v>
      </c>
      <c r="H82" s="766" t="s">
        <v>134</v>
      </c>
      <c r="I82" s="766" t="s">
        <v>134</v>
      </c>
      <c r="J82" s="766" t="s">
        <v>134</v>
      </c>
      <c r="K82" s="1231"/>
    </row>
    <row r="83" spans="1:11" ht="12.95">
      <c r="A83" s="1230"/>
      <c r="B83" s="1038"/>
      <c r="C83" s="577" t="s">
        <v>137</v>
      </c>
      <c r="D83" s="755" t="s">
        <v>468</v>
      </c>
      <c r="E83" s="767" t="s">
        <v>142</v>
      </c>
      <c r="F83" s="519" t="s">
        <v>142</v>
      </c>
      <c r="G83" s="520">
        <v>4</v>
      </c>
      <c r="H83" s="519"/>
      <c r="I83" s="519"/>
      <c r="J83" s="519"/>
      <c r="K83" s="1231"/>
    </row>
    <row r="84" spans="1:11" ht="24.95">
      <c r="A84" s="1230"/>
      <c r="B84" s="1038"/>
      <c r="C84" s="755" t="s">
        <v>135</v>
      </c>
      <c r="D84" s="755" t="s">
        <v>468</v>
      </c>
      <c r="E84" s="767" t="s">
        <v>142</v>
      </c>
      <c r="F84" s="519" t="s">
        <v>142</v>
      </c>
      <c r="G84" s="520">
        <v>1</v>
      </c>
      <c r="H84" s="519"/>
      <c r="I84" s="519"/>
      <c r="J84" s="519"/>
      <c r="K84" s="1231"/>
    </row>
    <row r="85" spans="1:11" ht="24.95">
      <c r="A85" s="1230"/>
      <c r="B85" s="1038"/>
      <c r="C85" s="755" t="s">
        <v>136</v>
      </c>
      <c r="D85" s="755" t="s">
        <v>468</v>
      </c>
      <c r="E85" s="767" t="s">
        <v>142</v>
      </c>
      <c r="F85" s="768" t="s">
        <v>142</v>
      </c>
      <c r="G85" s="520">
        <v>0</v>
      </c>
      <c r="H85" s="769"/>
      <c r="I85" s="769"/>
      <c r="J85" s="769"/>
      <c r="K85" s="1231"/>
    </row>
    <row r="86" spans="1:11" ht="12.95">
      <c r="A86" s="1230"/>
      <c r="B86" s="770" t="s">
        <v>97</v>
      </c>
      <c r="C86" s="1052" t="s">
        <v>148</v>
      </c>
      <c r="D86" s="1052"/>
      <c r="E86" s="1052"/>
      <c r="F86" s="1052"/>
      <c r="G86" s="1052"/>
      <c r="H86" s="1052"/>
      <c r="I86" s="1052"/>
      <c r="J86" s="1052"/>
      <c r="K86" s="1231"/>
    </row>
    <row r="87" spans="1:11">
      <c r="A87" s="1230"/>
      <c r="B87" s="771">
        <v>0.3</v>
      </c>
      <c r="C87" s="1053"/>
      <c r="D87" s="1053"/>
      <c r="E87" s="1053"/>
      <c r="F87" s="1053"/>
      <c r="G87" s="1053"/>
      <c r="H87" s="1053"/>
      <c r="I87" s="1053"/>
      <c r="J87" s="1053"/>
      <c r="K87" s="1231"/>
    </row>
    <row r="88" spans="1:11" ht="12.95">
      <c r="A88" s="1230"/>
      <c r="B88" s="737" t="s">
        <v>359</v>
      </c>
      <c r="C88" s="582"/>
      <c r="D88" s="585"/>
      <c r="E88" s="583" t="str">
        <f t="shared" ref="E88:J88" si="10">E$2</f>
        <v>Baseline (Aug.-2023)</v>
      </c>
      <c r="F88" s="584">
        <f t="shared" si="10"/>
        <v>45382</v>
      </c>
      <c r="G88" s="584">
        <f t="shared" si="10"/>
        <v>45747</v>
      </c>
      <c r="H88" s="584">
        <f t="shared" si="10"/>
        <v>46082</v>
      </c>
      <c r="I88" s="584">
        <f t="shared" si="10"/>
        <v>46447</v>
      </c>
      <c r="J88" s="584">
        <f t="shared" si="10"/>
        <v>46722</v>
      </c>
      <c r="K88" s="1231"/>
    </row>
    <row r="89" spans="1:11" ht="37.5">
      <c r="A89" s="1230"/>
      <c r="B89" s="1038" t="s">
        <v>139</v>
      </c>
      <c r="C89" s="580" t="s">
        <v>133</v>
      </c>
      <c r="D89" s="740" t="s">
        <v>468</v>
      </c>
      <c r="E89" s="517" t="s">
        <v>142</v>
      </c>
      <c r="F89" s="765" t="s">
        <v>469</v>
      </c>
      <c r="G89" s="517">
        <v>4</v>
      </c>
      <c r="H89" s="766" t="s">
        <v>134</v>
      </c>
      <c r="I89" s="766" t="s">
        <v>134</v>
      </c>
      <c r="J89" s="766" t="s">
        <v>134</v>
      </c>
      <c r="K89" s="1231"/>
    </row>
    <row r="90" spans="1:11" ht="37.5">
      <c r="A90" s="1230"/>
      <c r="B90" s="1038"/>
      <c r="C90" s="740" t="s">
        <v>135</v>
      </c>
      <c r="D90" s="740" t="s">
        <v>468</v>
      </c>
      <c r="E90" s="517" t="s">
        <v>142</v>
      </c>
      <c r="F90" s="765" t="s">
        <v>469</v>
      </c>
      <c r="G90" s="517">
        <v>1</v>
      </c>
      <c r="H90" s="766" t="s">
        <v>134</v>
      </c>
      <c r="I90" s="766" t="s">
        <v>134</v>
      </c>
      <c r="J90" s="766" t="s">
        <v>134</v>
      </c>
      <c r="K90" s="1231"/>
    </row>
    <row r="91" spans="1:11" ht="37.5">
      <c r="A91" s="1230"/>
      <c r="B91" s="1038"/>
      <c r="C91" s="740" t="s">
        <v>136</v>
      </c>
      <c r="D91" s="740" t="s">
        <v>468</v>
      </c>
      <c r="E91" s="517" t="s">
        <v>142</v>
      </c>
      <c r="F91" s="765" t="s">
        <v>469</v>
      </c>
      <c r="G91" s="517">
        <v>1</v>
      </c>
      <c r="H91" s="766" t="s">
        <v>134</v>
      </c>
      <c r="I91" s="766" t="s">
        <v>134</v>
      </c>
      <c r="J91" s="766" t="s">
        <v>134</v>
      </c>
      <c r="K91" s="1231"/>
    </row>
    <row r="92" spans="1:11" ht="12.95">
      <c r="A92" s="1230"/>
      <c r="B92" s="1038"/>
      <c r="C92" s="577" t="s">
        <v>137</v>
      </c>
      <c r="D92" s="755" t="s">
        <v>468</v>
      </c>
      <c r="E92" s="767" t="s">
        <v>142</v>
      </c>
      <c r="F92" s="519" t="s">
        <v>142</v>
      </c>
      <c r="G92" s="520">
        <v>4</v>
      </c>
      <c r="H92" s="519"/>
      <c r="I92" s="519"/>
      <c r="J92" s="519"/>
      <c r="K92" s="1231"/>
    </row>
    <row r="93" spans="1:11" ht="24.95">
      <c r="A93" s="1230"/>
      <c r="B93" s="1038"/>
      <c r="C93" s="755" t="s">
        <v>135</v>
      </c>
      <c r="D93" s="755" t="s">
        <v>468</v>
      </c>
      <c r="E93" s="767" t="s">
        <v>142</v>
      </c>
      <c r="F93" s="519" t="s">
        <v>142</v>
      </c>
      <c r="G93" s="520">
        <v>3</v>
      </c>
      <c r="H93" s="519"/>
      <c r="I93" s="519"/>
      <c r="J93" s="519"/>
      <c r="K93" s="1231"/>
    </row>
    <row r="94" spans="1:11" ht="24.95">
      <c r="A94" s="1230"/>
      <c r="B94" s="1038"/>
      <c r="C94" s="755" t="s">
        <v>136</v>
      </c>
      <c r="D94" s="755" t="s">
        <v>468</v>
      </c>
      <c r="E94" s="767" t="s">
        <v>142</v>
      </c>
      <c r="F94" s="768" t="s">
        <v>142</v>
      </c>
      <c r="G94" s="520">
        <v>2</v>
      </c>
      <c r="H94" s="769"/>
      <c r="I94" s="769"/>
      <c r="J94" s="769"/>
      <c r="K94" s="1231"/>
    </row>
    <row r="95" spans="1:11" ht="12.95">
      <c r="A95" s="1230"/>
      <c r="B95" s="770" t="s">
        <v>97</v>
      </c>
      <c r="C95" s="1052" t="s">
        <v>148</v>
      </c>
      <c r="D95" s="1052"/>
      <c r="E95" s="1052"/>
      <c r="F95" s="1052"/>
      <c r="G95" s="1052"/>
      <c r="H95" s="1052"/>
      <c r="I95" s="1052"/>
      <c r="J95" s="1052"/>
      <c r="K95" s="1231"/>
    </row>
    <row r="96" spans="1:11">
      <c r="A96" s="1230"/>
      <c r="B96" s="771">
        <v>0.3</v>
      </c>
      <c r="C96" s="1053"/>
      <c r="D96" s="1053"/>
      <c r="E96" s="1053"/>
      <c r="F96" s="1053"/>
      <c r="G96" s="1053"/>
      <c r="H96" s="1053"/>
      <c r="I96" s="1053"/>
      <c r="J96" s="1053"/>
      <c r="K96" s="1231"/>
    </row>
    <row r="97" spans="1:11" ht="12.95">
      <c r="A97" s="1230"/>
      <c r="B97" s="737" t="s">
        <v>470</v>
      </c>
      <c r="C97" s="582"/>
      <c r="D97" s="585"/>
      <c r="E97" s="583" t="str">
        <f t="shared" ref="E97:J97" si="11">E$2</f>
        <v>Baseline (Aug.-2023)</v>
      </c>
      <c r="F97" s="584">
        <f t="shared" si="11"/>
        <v>45382</v>
      </c>
      <c r="G97" s="584">
        <f t="shared" si="11"/>
        <v>45747</v>
      </c>
      <c r="H97" s="584">
        <f t="shared" si="11"/>
        <v>46082</v>
      </c>
      <c r="I97" s="584">
        <f t="shared" si="11"/>
        <v>46447</v>
      </c>
      <c r="J97" s="584">
        <f t="shared" si="11"/>
        <v>46722</v>
      </c>
      <c r="K97" s="1231"/>
    </row>
    <row r="98" spans="1:11" ht="37.5">
      <c r="A98" s="1230"/>
      <c r="B98" s="1038" t="s">
        <v>141</v>
      </c>
      <c r="C98" s="580" t="s">
        <v>133</v>
      </c>
      <c r="D98" s="740" t="s">
        <v>468</v>
      </c>
      <c r="E98" s="517" t="s">
        <v>142</v>
      </c>
      <c r="F98" s="765" t="s">
        <v>469</v>
      </c>
      <c r="G98" s="517">
        <v>2</v>
      </c>
      <c r="H98" s="766" t="s">
        <v>134</v>
      </c>
      <c r="I98" s="766" t="s">
        <v>134</v>
      </c>
      <c r="J98" s="766" t="s">
        <v>134</v>
      </c>
      <c r="K98" s="1231"/>
    </row>
    <row r="99" spans="1:11" ht="37.5">
      <c r="A99" s="1230"/>
      <c r="B99" s="1038"/>
      <c r="C99" s="740" t="s">
        <v>135</v>
      </c>
      <c r="D99" s="740" t="s">
        <v>468</v>
      </c>
      <c r="E99" s="517" t="s">
        <v>142</v>
      </c>
      <c r="F99" s="765" t="s">
        <v>469</v>
      </c>
      <c r="G99" s="517">
        <v>0</v>
      </c>
      <c r="H99" s="766" t="s">
        <v>134</v>
      </c>
      <c r="I99" s="766" t="s">
        <v>134</v>
      </c>
      <c r="J99" s="766" t="s">
        <v>134</v>
      </c>
      <c r="K99" s="1231"/>
    </row>
    <row r="100" spans="1:11" ht="37.5">
      <c r="A100" s="1230"/>
      <c r="B100" s="1038"/>
      <c r="C100" s="740" t="s">
        <v>136</v>
      </c>
      <c r="D100" s="740" t="s">
        <v>468</v>
      </c>
      <c r="E100" s="517" t="s">
        <v>142</v>
      </c>
      <c r="F100" s="765" t="s">
        <v>469</v>
      </c>
      <c r="G100" s="517">
        <v>0</v>
      </c>
      <c r="H100" s="766" t="s">
        <v>134</v>
      </c>
      <c r="I100" s="766" t="s">
        <v>134</v>
      </c>
      <c r="J100" s="766" t="s">
        <v>134</v>
      </c>
      <c r="K100" s="1231"/>
    </row>
    <row r="101" spans="1:11" ht="12.95">
      <c r="A101" s="1230"/>
      <c r="B101" s="1038"/>
      <c r="C101" s="577" t="s">
        <v>137</v>
      </c>
      <c r="D101" s="755" t="s">
        <v>468</v>
      </c>
      <c r="E101" s="767" t="s">
        <v>142</v>
      </c>
      <c r="F101" s="519" t="s">
        <v>142</v>
      </c>
      <c r="G101" s="520">
        <v>3</v>
      </c>
      <c r="H101" s="519"/>
      <c r="I101" s="519"/>
      <c r="J101" s="519"/>
      <c r="K101" s="1231"/>
    </row>
    <row r="102" spans="1:11" ht="24.95">
      <c r="A102" s="1230"/>
      <c r="B102" s="1038"/>
      <c r="C102" s="755" t="s">
        <v>135</v>
      </c>
      <c r="D102" s="755" t="s">
        <v>468</v>
      </c>
      <c r="E102" s="767" t="s">
        <v>142</v>
      </c>
      <c r="F102" s="519" t="s">
        <v>142</v>
      </c>
      <c r="G102" s="520">
        <v>0</v>
      </c>
      <c r="H102" s="519"/>
      <c r="I102" s="519"/>
      <c r="J102" s="519"/>
      <c r="K102" s="1231"/>
    </row>
    <row r="103" spans="1:11" ht="24.95">
      <c r="A103" s="1230"/>
      <c r="B103" s="1038"/>
      <c r="C103" s="755" t="s">
        <v>136</v>
      </c>
      <c r="D103" s="755" t="s">
        <v>468</v>
      </c>
      <c r="E103" s="767" t="s">
        <v>142</v>
      </c>
      <c r="F103" s="768" t="s">
        <v>142</v>
      </c>
      <c r="G103" s="520">
        <v>2</v>
      </c>
      <c r="H103" s="769"/>
      <c r="I103" s="769"/>
      <c r="J103" s="769"/>
      <c r="K103" s="772"/>
    </row>
    <row r="104" spans="1:11" ht="12.95">
      <c r="A104" s="1230"/>
      <c r="B104" s="737" t="s">
        <v>471</v>
      </c>
      <c r="C104" s="582"/>
      <c r="D104" s="585"/>
      <c r="E104" s="583" t="str">
        <f t="shared" ref="E104:J104" si="12">E$2</f>
        <v>Baseline (Aug.-2023)</v>
      </c>
      <c r="F104" s="584">
        <f t="shared" si="12"/>
        <v>45382</v>
      </c>
      <c r="G104" s="584">
        <f t="shared" si="12"/>
        <v>45747</v>
      </c>
      <c r="H104" s="584">
        <f t="shared" si="12"/>
        <v>46082</v>
      </c>
      <c r="I104" s="584">
        <f t="shared" si="12"/>
        <v>46447</v>
      </c>
      <c r="J104" s="584">
        <f t="shared" si="12"/>
        <v>46722</v>
      </c>
    </row>
    <row r="105" spans="1:11" ht="37.5">
      <c r="A105" s="1230"/>
      <c r="B105" s="1038" t="s">
        <v>472</v>
      </c>
      <c r="C105" s="580" t="s">
        <v>473</v>
      </c>
      <c r="D105" s="740" t="s">
        <v>468</v>
      </c>
      <c r="E105" s="773">
        <f>E87/2</f>
        <v>0</v>
      </c>
      <c r="F105" s="593" t="s">
        <v>469</v>
      </c>
      <c r="G105" s="774">
        <v>0.85</v>
      </c>
      <c r="H105" s="766" t="s">
        <v>134</v>
      </c>
      <c r="I105" s="766" t="s">
        <v>134</v>
      </c>
      <c r="J105" s="766" t="s">
        <v>134</v>
      </c>
    </row>
    <row r="106" spans="1:11" ht="37.5">
      <c r="A106" s="1230"/>
      <c r="B106" s="1038"/>
      <c r="C106" s="740" t="s">
        <v>474</v>
      </c>
      <c r="D106" s="740" t="s">
        <v>468</v>
      </c>
      <c r="E106" s="517">
        <v>0</v>
      </c>
      <c r="F106" s="593" t="s">
        <v>435</v>
      </c>
      <c r="G106" s="775" t="s">
        <v>435</v>
      </c>
      <c r="H106" s="766" t="s">
        <v>134</v>
      </c>
      <c r="I106" s="766" t="s">
        <v>134</v>
      </c>
      <c r="J106" s="766" t="s">
        <v>134</v>
      </c>
    </row>
    <row r="107" spans="1:11" ht="37.5">
      <c r="A107" s="1230"/>
      <c r="B107" s="1038"/>
      <c r="C107" s="740" t="s">
        <v>475</v>
      </c>
      <c r="D107" s="740" t="s">
        <v>468</v>
      </c>
      <c r="E107" s="517">
        <v>0</v>
      </c>
      <c r="F107" s="593" t="s">
        <v>435</v>
      </c>
      <c r="G107" s="775" t="s">
        <v>435</v>
      </c>
      <c r="H107" s="766" t="s">
        <v>134</v>
      </c>
      <c r="I107" s="766" t="s">
        <v>134</v>
      </c>
      <c r="J107" s="766" t="s">
        <v>134</v>
      </c>
    </row>
    <row r="108" spans="1:11" ht="37.5">
      <c r="A108" s="1230"/>
      <c r="B108" s="1038"/>
      <c r="C108" s="740" t="s">
        <v>476</v>
      </c>
      <c r="D108" s="740" t="s">
        <v>468</v>
      </c>
      <c r="E108" s="517">
        <v>0</v>
      </c>
      <c r="F108" s="593" t="s">
        <v>435</v>
      </c>
      <c r="G108" s="775" t="s">
        <v>435</v>
      </c>
      <c r="H108" s="766" t="s">
        <v>134</v>
      </c>
      <c r="I108" s="766" t="s">
        <v>134</v>
      </c>
      <c r="J108" s="766" t="s">
        <v>134</v>
      </c>
    </row>
    <row r="109" spans="1:11" ht="37.5">
      <c r="A109" s="1230"/>
      <c r="B109" s="1038"/>
      <c r="C109" s="740" t="s">
        <v>477</v>
      </c>
      <c r="D109" s="740" t="s">
        <v>468</v>
      </c>
      <c r="E109" s="517">
        <v>0</v>
      </c>
      <c r="F109" s="593" t="s">
        <v>435</v>
      </c>
      <c r="G109" s="775" t="s">
        <v>435</v>
      </c>
      <c r="H109" s="766" t="s">
        <v>134</v>
      </c>
      <c r="I109" s="766" t="s">
        <v>134</v>
      </c>
      <c r="J109" s="766" t="s">
        <v>134</v>
      </c>
    </row>
    <row r="110" spans="1:11" ht="37.5">
      <c r="A110" s="1230"/>
      <c r="B110" s="1038"/>
      <c r="C110" s="740" t="s">
        <v>478</v>
      </c>
      <c r="D110" s="740" t="s">
        <v>468</v>
      </c>
      <c r="E110" s="517">
        <v>0</v>
      </c>
      <c r="F110" s="593" t="s">
        <v>435</v>
      </c>
      <c r="G110" s="775" t="s">
        <v>435</v>
      </c>
      <c r="H110" s="766" t="s">
        <v>134</v>
      </c>
      <c r="I110" s="766" t="s">
        <v>134</v>
      </c>
      <c r="J110" s="766" t="s">
        <v>134</v>
      </c>
    </row>
    <row r="111" spans="1:11" ht="37.5">
      <c r="A111" s="1230"/>
      <c r="B111" s="1038"/>
      <c r="C111" s="740" t="s">
        <v>479</v>
      </c>
      <c r="D111" s="740" t="s">
        <v>468</v>
      </c>
      <c r="E111" s="517">
        <v>0</v>
      </c>
      <c r="F111" s="593" t="s">
        <v>435</v>
      </c>
      <c r="G111" s="775" t="s">
        <v>435</v>
      </c>
      <c r="H111" s="766" t="s">
        <v>134</v>
      </c>
      <c r="I111" s="766" t="s">
        <v>134</v>
      </c>
      <c r="J111" s="766" t="s">
        <v>134</v>
      </c>
    </row>
    <row r="112" spans="1:11" ht="37.5">
      <c r="A112" s="1230"/>
      <c r="B112" s="1038"/>
      <c r="C112" s="740" t="s">
        <v>480</v>
      </c>
      <c r="D112" s="740" t="s">
        <v>468</v>
      </c>
      <c r="E112" s="517">
        <v>0</v>
      </c>
      <c r="F112" s="593" t="s">
        <v>435</v>
      </c>
      <c r="G112" s="775" t="s">
        <v>435</v>
      </c>
      <c r="H112" s="766" t="s">
        <v>134</v>
      </c>
      <c r="I112" s="766" t="s">
        <v>134</v>
      </c>
      <c r="J112" s="766" t="s">
        <v>134</v>
      </c>
    </row>
    <row r="113" spans="1:10" ht="26.1">
      <c r="A113" s="1230"/>
      <c r="B113" s="1038"/>
      <c r="C113" s="577" t="s">
        <v>481</v>
      </c>
      <c r="D113" s="755" t="s">
        <v>468</v>
      </c>
      <c r="E113" s="776"/>
      <c r="F113" s="1" t="s">
        <v>142</v>
      </c>
      <c r="G113" s="777">
        <v>1</v>
      </c>
      <c r="H113" s="1"/>
      <c r="I113" s="1"/>
      <c r="J113" s="1"/>
    </row>
    <row r="114" spans="1:10" ht="24.95">
      <c r="A114" s="1230"/>
      <c r="B114" s="1038"/>
      <c r="C114" s="755" t="s">
        <v>474</v>
      </c>
      <c r="D114" s="755" t="s">
        <v>468</v>
      </c>
      <c r="E114" s="776"/>
      <c r="F114" s="778" t="s">
        <v>435</v>
      </c>
      <c r="G114" s="779">
        <v>1</v>
      </c>
      <c r="H114" s="780"/>
      <c r="I114" s="780"/>
      <c r="J114" s="780"/>
    </row>
    <row r="115" spans="1:10" ht="24.95">
      <c r="A115" s="1230"/>
      <c r="B115" s="1038"/>
      <c r="C115" s="755" t="s">
        <v>475</v>
      </c>
      <c r="D115" s="755" t="s">
        <v>468</v>
      </c>
      <c r="E115" s="776"/>
      <c r="F115" s="778" t="s">
        <v>435</v>
      </c>
      <c r="G115" s="779">
        <v>1</v>
      </c>
      <c r="H115" s="780"/>
      <c r="I115" s="780"/>
      <c r="J115" s="780"/>
    </row>
    <row r="116" spans="1:10" ht="24.95">
      <c r="A116" s="1230"/>
      <c r="B116" s="1038"/>
      <c r="C116" s="755" t="s">
        <v>476</v>
      </c>
      <c r="D116" s="755" t="s">
        <v>468</v>
      </c>
      <c r="E116" s="776"/>
      <c r="F116" s="778" t="s">
        <v>435</v>
      </c>
      <c r="G116" s="779">
        <v>1</v>
      </c>
      <c r="H116" s="780"/>
      <c r="I116" s="780"/>
      <c r="J116" s="780"/>
    </row>
    <row r="117" spans="1:10" ht="24.95">
      <c r="A117" s="1230"/>
      <c r="B117" s="1038"/>
      <c r="C117" s="755" t="s">
        <v>477</v>
      </c>
      <c r="D117" s="755" t="s">
        <v>468</v>
      </c>
      <c r="E117" s="776"/>
      <c r="F117" s="778" t="s">
        <v>435</v>
      </c>
      <c r="G117" s="779">
        <v>1</v>
      </c>
      <c r="H117" s="780"/>
      <c r="I117" s="780"/>
      <c r="J117" s="780"/>
    </row>
    <row r="118" spans="1:10" ht="24.95">
      <c r="A118" s="1230"/>
      <c r="B118" s="1038"/>
      <c r="C118" s="755" t="s">
        <v>478</v>
      </c>
      <c r="D118" s="755" t="s">
        <v>468</v>
      </c>
      <c r="E118" s="776"/>
      <c r="F118" s="778" t="s">
        <v>435</v>
      </c>
      <c r="G118" s="779">
        <v>1</v>
      </c>
      <c r="H118" s="780"/>
      <c r="I118" s="780"/>
      <c r="J118" s="780"/>
    </row>
    <row r="119" spans="1:10" ht="37.5">
      <c r="A119" s="1230"/>
      <c r="B119" s="1038"/>
      <c r="C119" s="755" t="s">
        <v>479</v>
      </c>
      <c r="D119" s="755" t="s">
        <v>468</v>
      </c>
      <c r="E119" s="776"/>
      <c r="F119" s="778" t="s">
        <v>435</v>
      </c>
      <c r="G119" s="779">
        <v>1</v>
      </c>
      <c r="H119" s="780"/>
      <c r="I119" s="780"/>
      <c r="J119" s="780"/>
    </row>
    <row r="120" spans="1:10" ht="37.5">
      <c r="A120" s="1230"/>
      <c r="B120" s="1038"/>
      <c r="C120" s="755" t="s">
        <v>480</v>
      </c>
      <c r="D120" s="755" t="s">
        <v>468</v>
      </c>
      <c r="E120" s="776"/>
      <c r="F120" s="778" t="s">
        <v>435</v>
      </c>
      <c r="G120" s="779">
        <v>1</v>
      </c>
      <c r="H120" s="780"/>
      <c r="I120" s="780"/>
      <c r="J120" s="780"/>
    </row>
    <row r="121" spans="1:10" ht="12.95">
      <c r="A121" s="1230"/>
      <c r="B121" s="1038"/>
      <c r="C121" s="1052" t="s">
        <v>148</v>
      </c>
      <c r="D121" s="1052"/>
      <c r="E121" s="1052"/>
      <c r="F121" s="1052"/>
      <c r="G121" s="1052"/>
      <c r="H121" s="1052"/>
      <c r="I121" s="1052"/>
      <c r="J121" s="1052"/>
    </row>
    <row r="122" spans="1:10">
      <c r="A122" s="1230"/>
      <c r="B122" s="1038"/>
      <c r="C122" s="1053"/>
      <c r="D122" s="1053"/>
      <c r="E122" s="1053"/>
      <c r="F122" s="1053"/>
      <c r="G122" s="1053"/>
      <c r="H122" s="1053"/>
      <c r="I122" s="1053"/>
      <c r="J122" s="1053"/>
    </row>
    <row r="123" spans="1:10" ht="12.95">
      <c r="A123" s="1230"/>
      <c r="B123" s="737" t="s">
        <v>482</v>
      </c>
      <c r="C123" s="582"/>
      <c r="D123" s="585"/>
      <c r="E123" s="583" t="str">
        <f t="shared" ref="E123:J123" si="13">E$2</f>
        <v>Baseline (Aug.-2023)</v>
      </c>
      <c r="F123" s="584">
        <f t="shared" si="13"/>
        <v>45382</v>
      </c>
      <c r="G123" s="584">
        <f t="shared" si="13"/>
        <v>45747</v>
      </c>
      <c r="H123" s="584">
        <f t="shared" si="13"/>
        <v>46082</v>
      </c>
      <c r="I123" s="584">
        <f t="shared" si="13"/>
        <v>46447</v>
      </c>
      <c r="J123" s="584">
        <f t="shared" si="13"/>
        <v>46722</v>
      </c>
    </row>
    <row r="124" spans="1:10" ht="37.5">
      <c r="A124" s="1230"/>
      <c r="B124" s="1038" t="s">
        <v>483</v>
      </c>
      <c r="C124" s="580" t="s">
        <v>484</v>
      </c>
      <c r="D124" s="740" t="s">
        <v>468</v>
      </c>
      <c r="E124" s="773">
        <v>0</v>
      </c>
      <c r="F124" s="593" t="s">
        <v>469</v>
      </c>
      <c r="G124" s="774">
        <v>0.75</v>
      </c>
      <c r="H124" s="766" t="s">
        <v>134</v>
      </c>
      <c r="I124" s="766" t="s">
        <v>134</v>
      </c>
      <c r="J124" s="766" t="s">
        <v>134</v>
      </c>
    </row>
    <row r="125" spans="1:10" ht="24.95">
      <c r="A125" s="1230"/>
      <c r="B125" s="1038"/>
      <c r="C125" s="740" t="s">
        <v>474</v>
      </c>
      <c r="D125" s="740" t="s">
        <v>468</v>
      </c>
      <c r="E125" s="517">
        <v>0</v>
      </c>
      <c r="F125" s="593" t="s">
        <v>435</v>
      </c>
      <c r="G125" s="774"/>
      <c r="H125" s="766"/>
      <c r="I125" s="766"/>
      <c r="J125" s="766"/>
    </row>
    <row r="126" spans="1:10" ht="24.95">
      <c r="A126" s="1230"/>
      <c r="B126" s="1038"/>
      <c r="C126" s="740" t="s">
        <v>475</v>
      </c>
      <c r="D126" s="740" t="s">
        <v>468</v>
      </c>
      <c r="E126" s="517">
        <v>0</v>
      </c>
      <c r="F126" s="593" t="s">
        <v>435</v>
      </c>
      <c r="G126" s="774"/>
      <c r="H126" s="766"/>
      <c r="I126" s="766"/>
      <c r="J126" s="766"/>
    </row>
    <row r="127" spans="1:10" ht="24.95">
      <c r="A127" s="1230"/>
      <c r="B127" s="1038"/>
      <c r="C127" s="740" t="s">
        <v>476</v>
      </c>
      <c r="D127" s="740" t="s">
        <v>468</v>
      </c>
      <c r="E127" s="517">
        <v>0</v>
      </c>
      <c r="F127" s="593" t="s">
        <v>435</v>
      </c>
      <c r="G127" s="774"/>
      <c r="H127" s="766"/>
      <c r="I127" s="766"/>
      <c r="J127" s="766"/>
    </row>
    <row r="128" spans="1:10" ht="24.95">
      <c r="A128" s="1230"/>
      <c r="B128" s="1038"/>
      <c r="C128" s="740" t="s">
        <v>477</v>
      </c>
      <c r="D128" s="740" t="s">
        <v>468</v>
      </c>
      <c r="E128" s="517">
        <v>0</v>
      </c>
      <c r="F128" s="593" t="s">
        <v>435</v>
      </c>
      <c r="G128" s="774"/>
      <c r="H128" s="766"/>
      <c r="I128" s="766"/>
      <c r="J128" s="766"/>
    </row>
    <row r="129" spans="1:10" ht="24.95">
      <c r="A129" s="1230"/>
      <c r="B129" s="1038"/>
      <c r="C129" s="740" t="s">
        <v>478</v>
      </c>
      <c r="D129" s="740" t="s">
        <v>468</v>
      </c>
      <c r="E129" s="517">
        <v>0</v>
      </c>
      <c r="F129" s="593" t="s">
        <v>435</v>
      </c>
      <c r="G129" s="774"/>
      <c r="H129" s="766"/>
      <c r="I129" s="766"/>
      <c r="J129" s="766"/>
    </row>
    <row r="130" spans="1:10" ht="37.5">
      <c r="A130" s="1230"/>
      <c r="B130" s="1038"/>
      <c r="C130" s="740" t="s">
        <v>479</v>
      </c>
      <c r="D130" s="740" t="s">
        <v>468</v>
      </c>
      <c r="E130" s="517">
        <v>0</v>
      </c>
      <c r="F130" s="593" t="s">
        <v>435</v>
      </c>
      <c r="G130" s="774"/>
      <c r="H130" s="766"/>
      <c r="I130" s="766"/>
      <c r="J130" s="766"/>
    </row>
    <row r="131" spans="1:10" ht="37.5">
      <c r="A131" s="1230"/>
      <c r="B131" s="1038"/>
      <c r="C131" s="740" t="s">
        <v>480</v>
      </c>
      <c r="D131" s="740" t="s">
        <v>468</v>
      </c>
      <c r="E131" s="517">
        <v>0</v>
      </c>
      <c r="F131" s="593" t="s">
        <v>435</v>
      </c>
      <c r="G131" s="774"/>
      <c r="H131" s="766"/>
      <c r="I131" s="766"/>
      <c r="J131" s="766"/>
    </row>
    <row r="132" spans="1:10" ht="26.1">
      <c r="A132" s="1230"/>
      <c r="B132" s="1038"/>
      <c r="C132" s="577" t="s">
        <v>485</v>
      </c>
      <c r="D132" s="755" t="s">
        <v>468</v>
      </c>
      <c r="E132" s="776"/>
      <c r="F132" s="1" t="s">
        <v>142</v>
      </c>
      <c r="G132" s="781">
        <v>0.7</v>
      </c>
      <c r="H132" s="1"/>
      <c r="I132" s="1"/>
      <c r="J132" s="1"/>
    </row>
    <row r="133" spans="1:10" ht="24.95">
      <c r="A133" s="1230"/>
      <c r="B133" s="1038"/>
      <c r="C133" s="755" t="s">
        <v>474</v>
      </c>
      <c r="D133" s="755" t="s">
        <v>468</v>
      </c>
      <c r="E133" s="776"/>
      <c r="F133" s="778" t="s">
        <v>435</v>
      </c>
      <c r="G133" s="779">
        <v>0.67</v>
      </c>
      <c r="H133" s="780"/>
      <c r="I133" s="780"/>
      <c r="J133" s="780"/>
    </row>
    <row r="134" spans="1:10" ht="24.95">
      <c r="A134" s="1230"/>
      <c r="B134" s="1038"/>
      <c r="C134" s="755" t="s">
        <v>475</v>
      </c>
      <c r="D134" s="755" t="s">
        <v>468</v>
      </c>
      <c r="E134" s="776"/>
      <c r="F134" s="778" t="s">
        <v>435</v>
      </c>
      <c r="G134" s="779">
        <v>1</v>
      </c>
      <c r="H134" s="780"/>
      <c r="I134" s="780"/>
      <c r="J134" s="780"/>
    </row>
    <row r="135" spans="1:10" ht="24.95">
      <c r="A135" s="1230"/>
      <c r="B135" s="1038"/>
      <c r="C135" s="755" t="s">
        <v>476</v>
      </c>
      <c r="D135" s="755" t="s">
        <v>468</v>
      </c>
      <c r="E135" s="776"/>
      <c r="F135" s="778" t="s">
        <v>435</v>
      </c>
      <c r="G135" s="779">
        <v>0</v>
      </c>
      <c r="H135" s="780"/>
      <c r="I135" s="780"/>
      <c r="J135" s="780"/>
    </row>
    <row r="136" spans="1:10" ht="24.95">
      <c r="A136" s="1230"/>
      <c r="B136" s="1038"/>
      <c r="C136" s="755" t="s">
        <v>477</v>
      </c>
      <c r="D136" s="755" t="s">
        <v>468</v>
      </c>
      <c r="E136" s="776"/>
      <c r="F136" s="778" t="s">
        <v>435</v>
      </c>
      <c r="G136" s="779">
        <v>0.75</v>
      </c>
      <c r="H136" s="780"/>
      <c r="I136" s="780"/>
      <c r="J136" s="780"/>
    </row>
    <row r="137" spans="1:10" ht="24.95">
      <c r="A137" s="1230"/>
      <c r="B137" s="1038"/>
      <c r="C137" s="755" t="s">
        <v>478</v>
      </c>
      <c r="D137" s="755" t="s">
        <v>468</v>
      </c>
      <c r="E137" s="776"/>
      <c r="F137" s="778" t="s">
        <v>435</v>
      </c>
      <c r="G137" s="779">
        <v>1</v>
      </c>
      <c r="H137" s="780"/>
      <c r="I137" s="780"/>
      <c r="J137" s="780"/>
    </row>
    <row r="138" spans="1:10" ht="37.5">
      <c r="A138" s="1230"/>
      <c r="B138" s="1038"/>
      <c r="C138" s="755" t="s">
        <v>479</v>
      </c>
      <c r="D138" s="755" t="s">
        <v>468</v>
      </c>
      <c r="E138" s="776"/>
      <c r="F138" s="778" t="s">
        <v>435</v>
      </c>
      <c r="G138" s="779">
        <v>0.5</v>
      </c>
      <c r="H138" s="780"/>
      <c r="I138" s="780"/>
      <c r="J138" s="780"/>
    </row>
    <row r="139" spans="1:10" ht="37.5">
      <c r="A139" s="1230"/>
      <c r="B139" s="1038"/>
      <c r="C139" s="755" t="s">
        <v>480</v>
      </c>
      <c r="D139" s="755" t="s">
        <v>468</v>
      </c>
      <c r="E139" s="776"/>
      <c r="F139" s="778" t="s">
        <v>435</v>
      </c>
      <c r="G139" s="779">
        <v>1</v>
      </c>
      <c r="H139" s="780"/>
      <c r="I139" s="780"/>
      <c r="J139" s="780"/>
    </row>
    <row r="140" spans="1:10" ht="12.95">
      <c r="A140" s="1230"/>
      <c r="B140" s="1038"/>
      <c r="C140" s="1052" t="s">
        <v>148</v>
      </c>
      <c r="D140" s="1052"/>
      <c r="E140" s="1052"/>
      <c r="F140" s="1052"/>
      <c r="G140" s="1052"/>
      <c r="H140" s="1052"/>
      <c r="I140" s="1052"/>
      <c r="J140" s="1052"/>
    </row>
    <row r="141" spans="1:10">
      <c r="A141" s="1230"/>
      <c r="B141" s="1038"/>
      <c r="C141" s="1053"/>
      <c r="D141" s="1053"/>
      <c r="E141" s="1053"/>
      <c r="F141" s="1053"/>
      <c r="G141" s="1053"/>
      <c r="H141" s="1053"/>
      <c r="I141" s="1053"/>
      <c r="J141" s="1053"/>
    </row>
    <row r="142" spans="1:10" ht="12.95">
      <c r="A142" s="1230"/>
      <c r="B142" s="737" t="s">
        <v>486</v>
      </c>
      <c r="C142" s="582"/>
      <c r="D142" s="585"/>
      <c r="E142" s="583" t="str">
        <f t="shared" ref="E142:J142" si="14">E$2</f>
        <v>Baseline (Aug.-2023)</v>
      </c>
      <c r="F142" s="584">
        <f t="shared" si="14"/>
        <v>45382</v>
      </c>
      <c r="G142" s="584">
        <f t="shared" si="14"/>
        <v>45747</v>
      </c>
      <c r="H142" s="584">
        <f t="shared" si="14"/>
        <v>46082</v>
      </c>
      <c r="I142" s="584">
        <f t="shared" si="14"/>
        <v>46447</v>
      </c>
      <c r="J142" s="584">
        <f t="shared" si="14"/>
        <v>46722</v>
      </c>
    </row>
    <row r="143" spans="1:10" ht="50.1">
      <c r="A143" s="1230"/>
      <c r="B143" s="1038" t="s">
        <v>150</v>
      </c>
      <c r="C143" s="580" t="s">
        <v>29</v>
      </c>
      <c r="D143" s="740" t="s">
        <v>468</v>
      </c>
      <c r="E143" s="773">
        <v>0</v>
      </c>
      <c r="F143" s="593" t="s">
        <v>469</v>
      </c>
      <c r="G143" s="593" t="s">
        <v>487</v>
      </c>
      <c r="H143" s="766" t="s">
        <v>134</v>
      </c>
      <c r="I143" s="766" t="s">
        <v>134</v>
      </c>
      <c r="J143" s="766" t="s">
        <v>134</v>
      </c>
    </row>
    <row r="144" spans="1:10" ht="37.5">
      <c r="A144" s="1230"/>
      <c r="B144" s="1038"/>
      <c r="C144" s="577" t="s">
        <v>31</v>
      </c>
      <c r="D144" s="755" t="s">
        <v>468</v>
      </c>
      <c r="E144" s="776"/>
      <c r="F144" s="1" t="s">
        <v>142</v>
      </c>
      <c r="G144" s="1" t="s">
        <v>488</v>
      </c>
      <c r="H144" s="1" t="s">
        <v>142</v>
      </c>
      <c r="I144" s="1" t="s">
        <v>142</v>
      </c>
      <c r="J144" s="1" t="s">
        <v>142</v>
      </c>
    </row>
    <row r="145" spans="1:10" ht="12.95">
      <c r="A145" s="1230"/>
      <c r="B145" s="1038"/>
      <c r="C145" s="1052" t="s">
        <v>148</v>
      </c>
      <c r="D145" s="1052"/>
      <c r="E145" s="1052"/>
      <c r="F145" s="1052"/>
      <c r="G145" s="1052"/>
      <c r="H145" s="1052"/>
      <c r="I145" s="1052"/>
      <c r="J145" s="1052"/>
    </row>
    <row r="146" spans="1:10">
      <c r="A146" s="1230"/>
      <c r="B146" s="1038"/>
      <c r="C146" s="1053"/>
      <c r="D146" s="1053"/>
      <c r="E146" s="1053"/>
      <c r="F146" s="1053"/>
      <c r="G146" s="1053"/>
      <c r="H146" s="1053"/>
      <c r="I146" s="1053"/>
      <c r="J146" s="1053"/>
    </row>
  </sheetData>
  <mergeCells count="46">
    <mergeCell ref="A1:J1"/>
    <mergeCell ref="K2:K13"/>
    <mergeCell ref="A4:A13"/>
    <mergeCell ref="B4:B13"/>
    <mergeCell ref="C12:J12"/>
    <mergeCell ref="C13:J13"/>
    <mergeCell ref="A15:A78"/>
    <mergeCell ref="B15:B28"/>
    <mergeCell ref="C27:J27"/>
    <mergeCell ref="C28:J28"/>
    <mergeCell ref="B30:B43"/>
    <mergeCell ref="C42:J42"/>
    <mergeCell ref="C43:J43"/>
    <mergeCell ref="B45:B54"/>
    <mergeCell ref="C53:J53"/>
    <mergeCell ref="C54:J54"/>
    <mergeCell ref="B56:B63"/>
    <mergeCell ref="C62:J62"/>
    <mergeCell ref="C63:J63"/>
    <mergeCell ref="B65:B68"/>
    <mergeCell ref="C67:J67"/>
    <mergeCell ref="C68:J68"/>
    <mergeCell ref="B70:B73"/>
    <mergeCell ref="C72:J72"/>
    <mergeCell ref="C73:J73"/>
    <mergeCell ref="B75:B78"/>
    <mergeCell ref="C77:J77"/>
    <mergeCell ref="C78:J78"/>
    <mergeCell ref="K80:K102"/>
    <mergeCell ref="C86:J86"/>
    <mergeCell ref="C87:J87"/>
    <mergeCell ref="B89:B94"/>
    <mergeCell ref="C95:J95"/>
    <mergeCell ref="C96:J96"/>
    <mergeCell ref="B98:B103"/>
    <mergeCell ref="B143:B146"/>
    <mergeCell ref="C145:J145"/>
    <mergeCell ref="C146:J146"/>
    <mergeCell ref="A80:A146"/>
    <mergeCell ref="B80:B85"/>
    <mergeCell ref="B105:B122"/>
    <mergeCell ref="C121:J121"/>
    <mergeCell ref="C122:J122"/>
    <mergeCell ref="B124:B141"/>
    <mergeCell ref="C140:J140"/>
    <mergeCell ref="C141:J141"/>
  </mergeCells>
  <printOptions horizontalCentered="1" verticalCentered="1"/>
  <pageMargins left="0.23622047244094491" right="0.23622047244094491" top="0.39370078740157483" bottom="0.23622047244094491" header="0.27559055118110237" footer="0.15748031496062992"/>
  <pageSetup paperSize="8" scale="22" orientation="landscape" r:id="rId1"/>
  <headerFooter>
    <oddHeader>&amp;CUK-Tanzania Green Growth Fund Logframe</oddHeader>
  </headerFooter>
  <rowBreaks count="1" manualBreakCount="1">
    <brk id="7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300116</AmpProgrammeId>
    <ContentDescription xmlns="1dfeaaf3-78af-4f3c-9a64-5b70949f85ef">Updated Logical framework for P4P</ContentDescription>
    <ProjectLanguage xmlns="1dfeaaf3-78af-4f3c-9a64-5b70949f85ef">English</ProjectLanguage>
    <DocumentIdentifier xmlns="1dfeaaf3-78af-4f3c-9a64-5b70949f85ef">S30011614</DocumentIdentifier>
    <Exclusion_x0020_Applied xmlns="1dfeaaf3-78af-4f3c-9a64-5b70949f85ef">false</Exclusion_x0020_Applied>
    <PublishingState xmlns="1dfeaaf3-78af-4f3c-9a64-5b70949f85ef">Not Published</PublishingState>
  </documentManagement>
</p:properties>
</file>

<file path=customXml/item2.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56B6915E583C3943AE71E3023564FDBB" ma:contentTypeVersion="5" ma:contentTypeDescription="Logical framework (Logframe) Content Type for Transparency" ma:contentTypeScope="" ma:versionID="55cf20a7d5f076977edecc1b93c295b8">
  <xsd:schema xmlns:xsd="http://www.w3.org/2001/XMLSchema" xmlns:xs="http://www.w3.org/2001/XMLSchema" xmlns:p="http://schemas.microsoft.com/office/2006/metadata/properties" xmlns:ns2="1dfeaaf3-78af-4f3c-9a64-5b70949f85ef" targetNamespace="http://schemas.microsoft.com/office/2006/metadata/properties" ma:root="true" ma:fieldsID="5cdbb1cb1d006f92e9da5d235c874623"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6F2CF0-E8F4-470D-A0E5-D84A6BB63C85}"/>
</file>

<file path=customXml/itemProps2.xml><?xml version="1.0" encoding="utf-8"?>
<ds:datastoreItem xmlns:ds="http://schemas.openxmlformats.org/officeDocument/2006/customXml" ds:itemID="{C526E0EC-E2B5-45D9-8DDB-947F24C63656}"/>
</file>

<file path=customXml/itemProps3.xml><?xml version="1.0" encoding="utf-8"?>
<ds:datastoreItem xmlns:ds="http://schemas.openxmlformats.org/officeDocument/2006/customXml" ds:itemID="{C94F9156-A524-4DD8-A347-346BC9A759F4}"/>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Master Logframe (S30011614) 300116 - Published November 2025</dc:title>
  <dc:subject/>
  <dc:creator>Kevin Maina</dc:creator>
  <cp:keywords/>
  <dc:description/>
  <cp:lastModifiedBy/>
  <cp:revision/>
  <dcterms:created xsi:type="dcterms:W3CDTF">2023-12-05T08:22:22Z</dcterms:created>
  <dcterms:modified xsi:type="dcterms:W3CDTF">2026-02-24T06:40:29Z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0x010100A9E804AD2130B047BEB1B1355903FA59030056B6915E583C3943AE71E3023564FDBB</vt:lpwstr>
  </property>
  <property fmtid="{D5CDD505-2E9C-101B-9397-08002B2CF9AE}" pid="3" name="MediaServiceImageTags">
    <vt:lpwstr/>
  </property>
</Properties>
</file>