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7280" windowHeight="6705" tabRatio="949"/>
  </bookViews>
  <sheets>
    <sheet name="1. Logframe" sheetId="1" r:id="rId1"/>
    <sheet name="2 Logframe Change Log" sheetId="2" r:id="rId2"/>
    <sheet name="3 Imp Ind 1 Achiev 2012 (new) " sheetId="14" r:id="rId3"/>
    <sheet name="4 Impact Ind 1 Achieved 2014 n" sheetId="10" r:id="rId4"/>
    <sheet name="5 Impact Ind 1 Targets 2016 n2" sheetId="22" r:id="rId5"/>
    <sheet name="6 Impact Ind 6 Completion" sheetId="24" r:id="rId6"/>
    <sheet name="7 Outcome Ind 1a Achieved 2014" sheetId="6" r:id="rId7"/>
    <sheet name="8 Outcome Ind 1a Targets 2016" sheetId="5" r:id="rId8"/>
    <sheet name="9 Outcome Ind 2a Gender" sheetId="21" r:id="rId9"/>
    <sheet name="10 Outcome Ind 2a Disabil Targ" sheetId="7" r:id="rId10"/>
    <sheet name="11 Outcome Ind 4 Targets 14-16" sheetId="20" r:id="rId11"/>
    <sheet name="12 Output 3 Targets 2014" sheetId="3" r:id="rId12"/>
    <sheet name="13 Output 3 Targets 2015-16" sheetId="4" r:id="rId13"/>
    <sheet name="14 Output 4 Targets 2015-16 " sheetId="25" r:id="rId14"/>
    <sheet name="15 Disability 2014-15 ASC" sheetId="23" r:id="rId15"/>
    <sheet name="16 Outcome Ind 2a Dis. Results" sheetId="26" r:id="rId16"/>
  </sheets>
  <definedNames>
    <definedName name="_xlnm._FilterDatabase" localSheetId="0" hidden="1">'1. Logframe'!$A$1:$AB$435</definedName>
    <definedName name="_ftn1" localSheetId="0">'1. Logframe'!#REF!</definedName>
    <definedName name="_ftnref1" localSheetId="0">'1. Logframe'!$C$187</definedName>
    <definedName name="_xlnm.Print_Area" localSheetId="0">'1. Logframe'!$B$1:$AB$436</definedName>
    <definedName name="_xlnm.Print_Area" localSheetId="13">'14 Output 4 Targets 2015-16 '!$J$12:$J$35</definedName>
    <definedName name="_xlnm.Print_Area" localSheetId="15">'16 Outcome Ind 2a Dis. Results'!$A$56:$M$91</definedName>
    <definedName name="_xlnm.Print_Area" localSheetId="8">'9 Outcome Ind 2a Gender'!$A$1:$M$54</definedName>
  </definedNames>
  <calcPr calcId="171027"/>
</workbook>
</file>

<file path=xl/calcChain.xml><?xml version="1.0" encoding="utf-8"?>
<calcChain xmlns="http://schemas.openxmlformats.org/spreadsheetml/2006/main">
  <c r="N100" i="21" l="1"/>
  <c r="AB166" i="1"/>
  <c r="AB167" i="1"/>
  <c r="M100" i="21"/>
  <c r="L100" i="21"/>
  <c r="K100" i="21"/>
  <c r="J100" i="21"/>
  <c r="X166" i="1"/>
  <c r="X167" i="1"/>
  <c r="I100" i="21"/>
  <c r="W166" i="1"/>
  <c r="N99" i="21"/>
  <c r="M99" i="21"/>
  <c r="M101" i="21"/>
  <c r="L99" i="21"/>
  <c r="Z165" i="1"/>
  <c r="Z167" i="1"/>
  <c r="K99" i="21"/>
  <c r="J99" i="21"/>
  <c r="I99" i="21"/>
  <c r="Y166" i="1"/>
  <c r="Z166" i="1"/>
  <c r="AA166" i="1"/>
  <c r="AA167" i="1"/>
  <c r="X165" i="1"/>
  <c r="Y165" i="1"/>
  <c r="Y167" i="1"/>
  <c r="AA165" i="1"/>
  <c r="AB165" i="1"/>
  <c r="W165" i="1"/>
  <c r="X162" i="1"/>
  <c r="Y162" i="1"/>
  <c r="Z162" i="1"/>
  <c r="AA162" i="1"/>
  <c r="AB162" i="1"/>
  <c r="W162" i="1"/>
  <c r="X161" i="1"/>
  <c r="Y161" i="1"/>
  <c r="Z161" i="1"/>
  <c r="AA161" i="1"/>
  <c r="AB161" i="1"/>
  <c r="W161" i="1"/>
  <c r="L101" i="21"/>
  <c r="J101" i="21"/>
  <c r="B99" i="21"/>
  <c r="N95" i="21"/>
  <c r="M95" i="21"/>
  <c r="L95" i="21"/>
  <c r="K95" i="21"/>
  <c r="J95" i="21"/>
  <c r="I95" i="21"/>
  <c r="X94" i="21"/>
  <c r="X95" i="21"/>
  <c r="W94" i="21"/>
  <c r="V94" i="21"/>
  <c r="T94" i="21"/>
  <c r="S94" i="21"/>
  <c r="O94" i="21"/>
  <c r="X93" i="21"/>
  <c r="W93" i="21"/>
  <c r="W95" i="21"/>
  <c r="T93" i="21"/>
  <c r="T95" i="21"/>
  <c r="O93" i="21"/>
  <c r="B89" i="21"/>
  <c r="N83" i="21"/>
  <c r="J83" i="21"/>
  <c r="L79" i="21"/>
  <c r="B79" i="21"/>
  <c r="K78" i="21"/>
  <c r="K77" i="21"/>
  <c r="C77" i="21"/>
  <c r="Z73" i="21"/>
  <c r="F73" i="21"/>
  <c r="E73" i="21"/>
  <c r="C73" i="21"/>
  <c r="B73" i="21"/>
  <c r="Z72" i="21"/>
  <c r="R72" i="21"/>
  <c r="P72" i="21"/>
  <c r="Y72" i="21"/>
  <c r="L72" i="21"/>
  <c r="I72" i="21"/>
  <c r="H72" i="21"/>
  <c r="K72" i="21"/>
  <c r="G72" i="21"/>
  <c r="D72" i="21"/>
  <c r="J72" i="21"/>
  <c r="M72" i="21"/>
  <c r="Z71" i="21"/>
  <c r="V71" i="21"/>
  <c r="T71" i="21"/>
  <c r="R71" i="21"/>
  <c r="P71" i="21"/>
  <c r="Y71" i="21"/>
  <c r="I71" i="21"/>
  <c r="L71" i="21"/>
  <c r="H71" i="21"/>
  <c r="K71" i="21"/>
  <c r="G71" i="21"/>
  <c r="D71" i="21"/>
  <c r="J71" i="21"/>
  <c r="M71" i="21"/>
  <c r="Z70" i="21"/>
  <c r="V70" i="21"/>
  <c r="T70" i="21"/>
  <c r="R70" i="21"/>
  <c r="P70" i="21"/>
  <c r="L70" i="21"/>
  <c r="K70" i="21"/>
  <c r="I70" i="21"/>
  <c r="H70" i="21"/>
  <c r="G70" i="21"/>
  <c r="G73" i="21"/>
  <c r="D70" i="21"/>
  <c r="Z69" i="21"/>
  <c r="V69" i="21"/>
  <c r="T69" i="21"/>
  <c r="R69" i="21"/>
  <c r="P69" i="21"/>
  <c r="L69" i="21"/>
  <c r="I69" i="21"/>
  <c r="H69" i="21"/>
  <c r="K69" i="21"/>
  <c r="G69" i="21"/>
  <c r="D69" i="21"/>
  <c r="J69" i="21"/>
  <c r="M69" i="21"/>
  <c r="Z68" i="21"/>
  <c r="V68" i="21"/>
  <c r="T68" i="21"/>
  <c r="R68" i="21"/>
  <c r="P68" i="21"/>
  <c r="Y68" i="21"/>
  <c r="L68" i="21"/>
  <c r="I68" i="21"/>
  <c r="H68" i="21"/>
  <c r="K68" i="21"/>
  <c r="G68" i="21"/>
  <c r="D68" i="21"/>
  <c r="J68" i="21"/>
  <c r="M68" i="21"/>
  <c r="Z67" i="21"/>
  <c r="V67" i="21"/>
  <c r="T67" i="21"/>
  <c r="R67" i="21"/>
  <c r="P67" i="21"/>
  <c r="Y67" i="21"/>
  <c r="I67" i="21"/>
  <c r="H67" i="21"/>
  <c r="K67" i="21"/>
  <c r="G67" i="21"/>
  <c r="D67" i="21"/>
  <c r="D73" i="21"/>
  <c r="F59" i="21"/>
  <c r="E59" i="21"/>
  <c r="I58" i="21"/>
  <c r="L58" i="21"/>
  <c r="G58" i="21"/>
  <c r="C58" i="21"/>
  <c r="D58" i="21"/>
  <c r="J58" i="21"/>
  <c r="M58" i="21"/>
  <c r="B58" i="21"/>
  <c r="H58" i="21"/>
  <c r="K58" i="21"/>
  <c r="K57" i="21"/>
  <c r="G57" i="21"/>
  <c r="D57" i="21"/>
  <c r="J57" i="21"/>
  <c r="M57" i="21"/>
  <c r="C57" i="21"/>
  <c r="I57" i="21"/>
  <c r="L57" i="21"/>
  <c r="B57" i="21"/>
  <c r="H57" i="21"/>
  <c r="J56" i="21"/>
  <c r="M56" i="21"/>
  <c r="G56" i="21"/>
  <c r="D56" i="21"/>
  <c r="C56" i="21"/>
  <c r="I56" i="21"/>
  <c r="L56" i="21"/>
  <c r="B56" i="21"/>
  <c r="H56" i="21"/>
  <c r="K56" i="21"/>
  <c r="L55" i="21"/>
  <c r="G55" i="21"/>
  <c r="D55" i="21"/>
  <c r="C55" i="21"/>
  <c r="I55" i="21"/>
  <c r="B55" i="21"/>
  <c r="H55" i="21"/>
  <c r="K55" i="21"/>
  <c r="L54" i="21"/>
  <c r="H54" i="21"/>
  <c r="K54" i="21"/>
  <c r="G54" i="21"/>
  <c r="C54" i="21"/>
  <c r="I54" i="21"/>
  <c r="B54" i="21"/>
  <c r="D54" i="21"/>
  <c r="J54" i="21"/>
  <c r="M54" i="21"/>
  <c r="G53" i="21"/>
  <c r="C53" i="21"/>
  <c r="B53" i="21"/>
  <c r="D53" i="21"/>
  <c r="D59" i="21"/>
  <c r="F47" i="21"/>
  <c r="E47" i="21"/>
  <c r="B47" i="21"/>
  <c r="G46" i="21"/>
  <c r="C46" i="21"/>
  <c r="I46" i="21"/>
  <c r="L46" i="21"/>
  <c r="B46" i="21"/>
  <c r="H46" i="21"/>
  <c r="K46" i="21"/>
  <c r="J45" i="21"/>
  <c r="M45" i="21"/>
  <c r="G45" i="21"/>
  <c r="D45" i="21"/>
  <c r="C45" i="21"/>
  <c r="I45" i="21"/>
  <c r="L45" i="21"/>
  <c r="B45" i="21"/>
  <c r="H45" i="21"/>
  <c r="K45" i="21"/>
  <c r="G44" i="21"/>
  <c r="D44" i="21"/>
  <c r="J44" i="21"/>
  <c r="M44" i="21"/>
  <c r="C44" i="21"/>
  <c r="I44" i="21"/>
  <c r="L88" i="21"/>
  <c r="V83" i="21"/>
  <c r="V88" i="21"/>
  <c r="B44" i="21"/>
  <c r="H44" i="21"/>
  <c r="K44" i="21"/>
  <c r="L43" i="21"/>
  <c r="G43" i="21"/>
  <c r="J43" i="21"/>
  <c r="M43" i="21"/>
  <c r="D43" i="21"/>
  <c r="C43" i="21"/>
  <c r="I43" i="21"/>
  <c r="B43" i="21"/>
  <c r="H43" i="21"/>
  <c r="K43" i="21"/>
  <c r="M42" i="21"/>
  <c r="H42" i="21"/>
  <c r="G42" i="21"/>
  <c r="C42" i="21"/>
  <c r="I42" i="21"/>
  <c r="B42" i="21"/>
  <c r="D42" i="21"/>
  <c r="J42" i="21"/>
  <c r="H41" i="21"/>
  <c r="K41" i="21"/>
  <c r="G41" i="21"/>
  <c r="C41" i="21"/>
  <c r="B41" i="21"/>
  <c r="D41" i="21"/>
  <c r="F35" i="21"/>
  <c r="E35" i="21"/>
  <c r="H34" i="21"/>
  <c r="K34" i="21"/>
  <c r="G34" i="21"/>
  <c r="C34" i="21"/>
  <c r="I34" i="21"/>
  <c r="L34" i="21"/>
  <c r="B34" i="21"/>
  <c r="D34" i="21"/>
  <c r="I33" i="21"/>
  <c r="L33" i="21"/>
  <c r="G33" i="21"/>
  <c r="D33" i="21"/>
  <c r="J33" i="21"/>
  <c r="M33" i="21"/>
  <c r="C33" i="21"/>
  <c r="B33" i="21"/>
  <c r="H33" i="21"/>
  <c r="K33" i="21"/>
  <c r="G32" i="21"/>
  <c r="C32" i="21"/>
  <c r="I32" i="21"/>
  <c r="L32" i="21"/>
  <c r="B32" i="21"/>
  <c r="D32" i="21"/>
  <c r="I31" i="21"/>
  <c r="L31" i="21"/>
  <c r="G31" i="21"/>
  <c r="C31" i="21"/>
  <c r="D31" i="21"/>
  <c r="J31" i="21"/>
  <c r="M31" i="21"/>
  <c r="B31" i="21"/>
  <c r="H31" i="21"/>
  <c r="K31" i="21"/>
  <c r="I30" i="21"/>
  <c r="L30" i="21"/>
  <c r="G30" i="21"/>
  <c r="C30" i="21"/>
  <c r="B30" i="21"/>
  <c r="D30" i="21"/>
  <c r="I29" i="21"/>
  <c r="L29" i="21"/>
  <c r="G29" i="21"/>
  <c r="C29" i="21"/>
  <c r="C35" i="21"/>
  <c r="B29" i="21"/>
  <c r="B35" i="21"/>
  <c r="I23" i="21"/>
  <c r="L23" i="21"/>
  <c r="F23" i="21"/>
  <c r="E23" i="21"/>
  <c r="C23" i="21"/>
  <c r="L22" i="21"/>
  <c r="I22" i="21"/>
  <c r="H22" i="21"/>
  <c r="K22" i="21"/>
  <c r="G22" i="21"/>
  <c r="J22" i="21"/>
  <c r="M22" i="21"/>
  <c r="C22" i="21"/>
  <c r="B22" i="21"/>
  <c r="D22" i="21"/>
  <c r="K21" i="21"/>
  <c r="I21" i="21"/>
  <c r="L21" i="21"/>
  <c r="G21" i="21"/>
  <c r="J21" i="21"/>
  <c r="M21" i="21"/>
  <c r="D21" i="21"/>
  <c r="C21" i="21"/>
  <c r="B21" i="21"/>
  <c r="H21" i="21"/>
  <c r="L20" i="21"/>
  <c r="I20" i="21"/>
  <c r="H20" i="21"/>
  <c r="K20" i="21"/>
  <c r="G20" i="21"/>
  <c r="J20" i="21"/>
  <c r="D86" i="21"/>
  <c r="C20" i="21"/>
  <c r="B20" i="21"/>
  <c r="D20" i="21"/>
  <c r="K19" i="21"/>
  <c r="I19" i="21"/>
  <c r="L19" i="21"/>
  <c r="G19" i="21"/>
  <c r="J19" i="21"/>
  <c r="M19" i="21"/>
  <c r="D19" i="21"/>
  <c r="C19" i="21"/>
  <c r="B19" i="21"/>
  <c r="H19" i="21"/>
  <c r="L18" i="21"/>
  <c r="I18" i="21"/>
  <c r="H18" i="21"/>
  <c r="K18" i="21"/>
  <c r="G18" i="21"/>
  <c r="J18" i="21"/>
  <c r="M18" i="21"/>
  <c r="C18" i="21"/>
  <c r="B18" i="21"/>
  <c r="D18" i="21"/>
  <c r="I17" i="21"/>
  <c r="L17" i="21"/>
  <c r="G17" i="21"/>
  <c r="J17" i="21"/>
  <c r="D17" i="21"/>
  <c r="D23" i="21"/>
  <c r="C17" i="21"/>
  <c r="B17" i="21"/>
  <c r="B23" i="21"/>
  <c r="F11" i="21"/>
  <c r="E11" i="21"/>
  <c r="D11" i="21"/>
  <c r="C11" i="21"/>
  <c r="B11" i="21"/>
  <c r="L10" i="21"/>
  <c r="K10" i="21"/>
  <c r="I10" i="21"/>
  <c r="H10" i="21"/>
  <c r="G10" i="21"/>
  <c r="J10" i="21"/>
  <c r="C88" i="21"/>
  <c r="D88" i="21"/>
  <c r="D10" i="21"/>
  <c r="K9" i="21"/>
  <c r="I9" i="21"/>
  <c r="H9" i="21"/>
  <c r="G9" i="21"/>
  <c r="J9" i="21"/>
  <c r="C87" i="21"/>
  <c r="D9" i="21"/>
  <c r="M8" i="21"/>
  <c r="I8" i="21"/>
  <c r="L83" i="21"/>
  <c r="H8" i="21"/>
  <c r="L82" i="21"/>
  <c r="G8" i="21"/>
  <c r="J8" i="21"/>
  <c r="C86" i="21"/>
  <c r="D8" i="21"/>
  <c r="L7" i="21"/>
  <c r="I7" i="21"/>
  <c r="K83" i="21"/>
  <c r="K88" i="21"/>
  <c r="U83" i="21"/>
  <c r="U88" i="21"/>
  <c r="U94" i="21"/>
  <c r="H7" i="21"/>
  <c r="K7" i="21"/>
  <c r="G7" i="21"/>
  <c r="J7" i="21"/>
  <c r="C85" i="21"/>
  <c r="D85" i="21"/>
  <c r="E85" i="21"/>
  <c r="F85" i="21"/>
  <c r="D7" i="21"/>
  <c r="L6" i="21"/>
  <c r="K6" i="21"/>
  <c r="I6" i="21"/>
  <c r="H6" i="21"/>
  <c r="G6" i="21"/>
  <c r="J6" i="21"/>
  <c r="C84" i="21"/>
  <c r="D6" i="21"/>
  <c r="K5" i="21"/>
  <c r="I5" i="21"/>
  <c r="C93" i="21"/>
  <c r="H5" i="21"/>
  <c r="G5" i="21"/>
  <c r="J5" i="21"/>
  <c r="D5" i="21"/>
  <c r="Y173" i="1"/>
  <c r="AB181" i="1"/>
  <c r="AB183" i="1"/>
  <c r="AA181" i="1"/>
  <c r="Y172" i="1"/>
  <c r="X183" i="1"/>
  <c r="Y183" i="1"/>
  <c r="Z183" i="1"/>
  <c r="W183" i="1"/>
  <c r="AB182" i="1"/>
  <c r="AA182" i="1"/>
  <c r="Y182" i="1"/>
  <c r="Z182" i="1"/>
  <c r="X182" i="1"/>
  <c r="W182" i="1"/>
  <c r="X181" i="1"/>
  <c r="W181" i="1"/>
  <c r="N48" i="7"/>
  <c r="I79" i="26"/>
  <c r="H79" i="26"/>
  <c r="G79" i="26"/>
  <c r="F79" i="26"/>
  <c r="E79" i="26"/>
  <c r="D79" i="26"/>
  <c r="C79" i="26"/>
  <c r="B79" i="26"/>
  <c r="L75" i="26"/>
  <c r="M75" i="26"/>
  <c r="K75" i="26"/>
  <c r="J75" i="26"/>
  <c r="K74" i="26"/>
  <c r="L74" i="26"/>
  <c r="J74" i="26"/>
  <c r="K76" i="26"/>
  <c r="J76" i="26"/>
  <c r="L76" i="26"/>
  <c r="M76" i="26"/>
  <c r="K77" i="26"/>
  <c r="J77" i="26"/>
  <c r="L77" i="26"/>
  <c r="M77" i="26"/>
  <c r="L78" i="26"/>
  <c r="M78" i="26"/>
  <c r="K78" i="26"/>
  <c r="J78" i="26"/>
  <c r="L73" i="26"/>
  <c r="M73" i="26"/>
  <c r="K73" i="26"/>
  <c r="K79" i="26"/>
  <c r="J73" i="26"/>
  <c r="I67" i="26"/>
  <c r="H67" i="26"/>
  <c r="G67" i="26"/>
  <c r="F67" i="26"/>
  <c r="E67" i="26"/>
  <c r="D67" i="26"/>
  <c r="C67" i="26"/>
  <c r="B67" i="26"/>
  <c r="L63" i="26"/>
  <c r="M63" i="26"/>
  <c r="K63" i="26"/>
  <c r="J63" i="26"/>
  <c r="Y181" i="1"/>
  <c r="K62" i="26"/>
  <c r="L62" i="26"/>
  <c r="M62" i="26"/>
  <c r="J62" i="26"/>
  <c r="K64" i="26"/>
  <c r="J64" i="26"/>
  <c r="L64" i="26"/>
  <c r="M64" i="26"/>
  <c r="K65" i="26"/>
  <c r="J65" i="26"/>
  <c r="L65" i="26"/>
  <c r="M65" i="26"/>
  <c r="L66" i="26"/>
  <c r="M66" i="26"/>
  <c r="K66" i="26"/>
  <c r="J66" i="26"/>
  <c r="L61" i="26"/>
  <c r="K61" i="26"/>
  <c r="K67" i="26"/>
  <c r="J61" i="26"/>
  <c r="H39" i="26"/>
  <c r="F39" i="26"/>
  <c r="D39" i="26"/>
  <c r="C39" i="26"/>
  <c r="F38" i="26"/>
  <c r="D38" i="26"/>
  <c r="F37" i="26"/>
  <c r="D37" i="26"/>
  <c r="AB32" i="26"/>
  <c r="W32" i="26"/>
  <c r="G32" i="26"/>
  <c r="B32" i="26"/>
  <c r="BF31" i="26"/>
  <c r="BE31" i="26"/>
  <c r="BD31" i="26"/>
  <c r="BC31" i="26"/>
  <c r="BB31" i="26"/>
  <c r="BA31" i="26"/>
  <c r="AZ31" i="26"/>
  <c r="AY31" i="26"/>
  <c r="AX31" i="26"/>
  <c r="AW31" i="26"/>
  <c r="AV31" i="26"/>
  <c r="BH31" i="26"/>
  <c r="AU31" i="26"/>
  <c r="BG31" i="26"/>
  <c r="H42" i="26"/>
  <c r="AQ31" i="26"/>
  <c r="AP31" i="26"/>
  <c r="AO31" i="26"/>
  <c r="AN31" i="26"/>
  <c r="AN32" i="26"/>
  <c r="AM31" i="26"/>
  <c r="AL31" i="26"/>
  <c r="AK31" i="26"/>
  <c r="AJ31" i="26"/>
  <c r="AI31" i="26"/>
  <c r="AH31" i="26"/>
  <c r="AG31" i="26"/>
  <c r="AS31" i="26"/>
  <c r="AF31" i="26"/>
  <c r="AR31" i="26"/>
  <c r="AB31" i="26"/>
  <c r="AA31" i="26"/>
  <c r="Z31" i="26"/>
  <c r="Y31" i="26"/>
  <c r="X31" i="26"/>
  <c r="W31" i="26"/>
  <c r="V31" i="26"/>
  <c r="U31" i="26"/>
  <c r="T31" i="26"/>
  <c r="AD31" i="26"/>
  <c r="S31" i="26"/>
  <c r="S32" i="26"/>
  <c r="R31" i="26"/>
  <c r="Q31" i="26"/>
  <c r="P31" i="26"/>
  <c r="O31" i="26"/>
  <c r="C42" i="26"/>
  <c r="M31" i="26"/>
  <c r="L31" i="26"/>
  <c r="K31" i="26"/>
  <c r="J31" i="26"/>
  <c r="I31" i="26"/>
  <c r="H31" i="26"/>
  <c r="G31" i="26"/>
  <c r="F31" i="26"/>
  <c r="E31" i="26"/>
  <c r="D31" i="26"/>
  <c r="C31" i="26"/>
  <c r="C32" i="26"/>
  <c r="B31" i="26"/>
  <c r="N31" i="26"/>
  <c r="B42" i="26"/>
  <c r="BI30" i="26"/>
  <c r="AT30" i="26"/>
  <c r="AE30" i="26"/>
  <c r="P30" i="26"/>
  <c r="BI29" i="26"/>
  <c r="AT29" i="26"/>
  <c r="AE29" i="26"/>
  <c r="P29" i="26"/>
  <c r="BI28" i="26"/>
  <c r="AT28" i="26"/>
  <c r="AE28" i="26"/>
  <c r="P28" i="26"/>
  <c r="BI27" i="26"/>
  <c r="AT27" i="26"/>
  <c r="AE27" i="26"/>
  <c r="P27" i="26"/>
  <c r="BI26" i="26"/>
  <c r="AT26" i="26"/>
  <c r="AE26" i="26"/>
  <c r="P26" i="26"/>
  <c r="BI25" i="26"/>
  <c r="AT25" i="26"/>
  <c r="AE25" i="26"/>
  <c r="P25" i="26"/>
  <c r="BI24" i="26"/>
  <c r="BI31" i="26"/>
  <c r="AT24" i="26"/>
  <c r="AT31" i="26"/>
  <c r="AE24" i="26"/>
  <c r="AE31" i="26"/>
  <c r="P24" i="26"/>
  <c r="BF23" i="26"/>
  <c r="BF32" i="26"/>
  <c r="BE23" i="26"/>
  <c r="BD23" i="26"/>
  <c r="BC23" i="26"/>
  <c r="BB23" i="26"/>
  <c r="BA23" i="26"/>
  <c r="AZ23" i="26"/>
  <c r="AY23" i="26"/>
  <c r="AX23" i="26"/>
  <c r="AX32" i="26"/>
  <c r="AW23" i="26"/>
  <c r="AV23" i="26"/>
  <c r="AU23" i="26"/>
  <c r="BG23" i="26"/>
  <c r="H41" i="26"/>
  <c r="AQ23" i="26"/>
  <c r="AP23" i="26"/>
  <c r="AO23" i="26"/>
  <c r="AN23" i="26"/>
  <c r="AM23" i="26"/>
  <c r="AL23" i="26"/>
  <c r="AK23" i="26"/>
  <c r="AJ23" i="26"/>
  <c r="AI23" i="26"/>
  <c r="AH23" i="26"/>
  <c r="AG23" i="26"/>
  <c r="AS23" i="26"/>
  <c r="AF23" i="26"/>
  <c r="AR23" i="26"/>
  <c r="F41" i="26"/>
  <c r="AE23" i="26"/>
  <c r="AB23" i="26"/>
  <c r="AA23" i="26"/>
  <c r="Z23" i="26"/>
  <c r="Y23" i="26"/>
  <c r="X23" i="26"/>
  <c r="X32" i="26"/>
  <c r="W23" i="26"/>
  <c r="V23" i="26"/>
  <c r="U23" i="26"/>
  <c r="T23" i="26"/>
  <c r="S23" i="26"/>
  <c r="R23" i="26"/>
  <c r="Q23" i="26"/>
  <c r="AC23" i="26"/>
  <c r="D41" i="26"/>
  <c r="P23" i="26"/>
  <c r="M23" i="26"/>
  <c r="L23" i="26"/>
  <c r="L32" i="26"/>
  <c r="K23" i="26"/>
  <c r="J23" i="26"/>
  <c r="I23" i="26"/>
  <c r="H23" i="26"/>
  <c r="H32" i="26"/>
  <c r="G23" i="26"/>
  <c r="F23" i="26"/>
  <c r="E23" i="26"/>
  <c r="D23" i="26"/>
  <c r="D32" i="26"/>
  <c r="C23" i="26"/>
  <c r="O23" i="26"/>
  <c r="C41" i="26"/>
  <c r="B23" i="26"/>
  <c r="BI22" i="26"/>
  <c r="AT22" i="26"/>
  <c r="AE22" i="26"/>
  <c r="P22" i="26"/>
  <c r="BI21" i="26"/>
  <c r="AT21" i="26"/>
  <c r="AE21" i="26"/>
  <c r="P21" i="26"/>
  <c r="BI20" i="26"/>
  <c r="AT20" i="26"/>
  <c r="AE20" i="26"/>
  <c r="P20" i="26"/>
  <c r="BI19" i="26"/>
  <c r="AT19" i="26"/>
  <c r="AE19" i="26"/>
  <c r="P19" i="26"/>
  <c r="BI18" i="26"/>
  <c r="AT18" i="26"/>
  <c r="AE18" i="26"/>
  <c r="P18" i="26"/>
  <c r="BI17" i="26"/>
  <c r="AT17" i="26"/>
  <c r="AE17" i="26"/>
  <c r="P17" i="26"/>
  <c r="BI16" i="26"/>
  <c r="AT16" i="26"/>
  <c r="AE16" i="26"/>
  <c r="P16" i="26"/>
  <c r="BI15" i="26"/>
  <c r="AT15" i="26"/>
  <c r="AE15" i="26"/>
  <c r="P15" i="26"/>
  <c r="BI14" i="26"/>
  <c r="BI23" i="26"/>
  <c r="AT14" i="26"/>
  <c r="AT23" i="26"/>
  <c r="AE14" i="26"/>
  <c r="P14" i="26"/>
  <c r="BF13" i="26"/>
  <c r="BE13" i="26"/>
  <c r="BE32" i="26"/>
  <c r="BD13" i="26"/>
  <c r="BD32" i="26"/>
  <c r="BC13" i="26"/>
  <c r="BC32" i="26"/>
  <c r="BB13" i="26"/>
  <c r="BB32" i="26"/>
  <c r="BA13" i="26"/>
  <c r="BA32" i="26"/>
  <c r="AZ13" i="26"/>
  <c r="AZ32" i="26"/>
  <c r="AY13" i="26"/>
  <c r="AY32" i="26"/>
  <c r="AX13" i="26"/>
  <c r="AW13" i="26"/>
  <c r="AW32" i="26"/>
  <c r="AV13" i="26"/>
  <c r="AV32" i="26"/>
  <c r="AU13" i="26"/>
  <c r="AU32" i="26"/>
  <c r="AQ13" i="26"/>
  <c r="AQ32" i="26"/>
  <c r="AP13" i="26"/>
  <c r="AP32" i="26"/>
  <c r="AO13" i="26"/>
  <c r="AO32" i="26"/>
  <c r="AN13" i="26"/>
  <c r="AM13" i="26"/>
  <c r="AM32" i="26"/>
  <c r="AL13" i="26"/>
  <c r="AL32" i="26"/>
  <c r="AK13" i="26"/>
  <c r="AK32" i="26"/>
  <c r="AJ13" i="26"/>
  <c r="AI13" i="26"/>
  <c r="AI32" i="26"/>
  <c r="AH13" i="26"/>
  <c r="AH32" i="26"/>
  <c r="AG13" i="26"/>
  <c r="AG32" i="26"/>
  <c r="AF13" i="26"/>
  <c r="AE13" i="26"/>
  <c r="AB13" i="26"/>
  <c r="AA13" i="26"/>
  <c r="AA32" i="26"/>
  <c r="Z13" i="26"/>
  <c r="Z32" i="26"/>
  <c r="Y13" i="26"/>
  <c r="Y32" i="26"/>
  <c r="X13" i="26"/>
  <c r="W13" i="26"/>
  <c r="V13" i="26"/>
  <c r="V32" i="26"/>
  <c r="U13" i="26"/>
  <c r="U32" i="26"/>
  <c r="T13" i="26"/>
  <c r="S13" i="26"/>
  <c r="R13" i="26"/>
  <c r="AD13" i="26"/>
  <c r="E40" i="26"/>
  <c r="Q13" i="26"/>
  <c r="Q32" i="26"/>
  <c r="M13" i="26"/>
  <c r="M32" i="26"/>
  <c r="L13" i="26"/>
  <c r="K13" i="26"/>
  <c r="K32" i="26"/>
  <c r="J13" i="26"/>
  <c r="J32" i="26"/>
  <c r="I13" i="26"/>
  <c r="I32" i="26"/>
  <c r="H13" i="26"/>
  <c r="G13" i="26"/>
  <c r="F13" i="26"/>
  <c r="F32" i="26"/>
  <c r="E13" i="26"/>
  <c r="E32" i="26"/>
  <c r="D13" i="26"/>
  <c r="C13" i="26"/>
  <c r="O13" i="26"/>
  <c r="C40" i="26"/>
  <c r="B13" i="26"/>
  <c r="N13" i="26"/>
  <c r="B40" i="26"/>
  <c r="BI12" i="26"/>
  <c r="AT12" i="26"/>
  <c r="AE12" i="26"/>
  <c r="P12" i="26"/>
  <c r="BI11" i="26"/>
  <c r="AT11" i="26"/>
  <c r="AE11" i="26"/>
  <c r="P11" i="26"/>
  <c r="BI10" i="26"/>
  <c r="BI13" i="26"/>
  <c r="AT10" i="26"/>
  <c r="AT13" i="26"/>
  <c r="AE10" i="26"/>
  <c r="P10" i="26"/>
  <c r="P13" i="26"/>
  <c r="BI9" i="26"/>
  <c r="BH9" i="26"/>
  <c r="I39" i="26"/>
  <c r="BG9" i="26"/>
  <c r="AT9" i="26"/>
  <c r="AS9" i="26"/>
  <c r="AR9" i="26"/>
  <c r="AE9" i="26"/>
  <c r="AD9" i="26"/>
  <c r="AC9" i="26"/>
  <c r="P9" i="26"/>
  <c r="O9" i="26"/>
  <c r="N9" i="26"/>
  <c r="B39" i="26"/>
  <c r="J39" i="26"/>
  <c r="BI8" i="26"/>
  <c r="BH8" i="26"/>
  <c r="I38" i="26"/>
  <c r="BG8" i="26"/>
  <c r="H38" i="26"/>
  <c r="AT8" i="26"/>
  <c r="AS8" i="26"/>
  <c r="AR8" i="26"/>
  <c r="AE8" i="26"/>
  <c r="AD8" i="26"/>
  <c r="AC8" i="26"/>
  <c r="P8" i="26"/>
  <c r="O8" i="26"/>
  <c r="C38" i="26"/>
  <c r="N8" i="26"/>
  <c r="B38" i="26"/>
  <c r="J38" i="26"/>
  <c r="BI7" i="26"/>
  <c r="BI32" i="26"/>
  <c r="BH7" i="26"/>
  <c r="I37" i="26"/>
  <c r="BG7" i="26"/>
  <c r="AT7" i="26"/>
  <c r="AS7" i="26"/>
  <c r="AR7" i="26"/>
  <c r="AE7" i="26"/>
  <c r="AD7" i="26"/>
  <c r="AC7" i="26"/>
  <c r="P7" i="26"/>
  <c r="P32" i="26"/>
  <c r="O7" i="26"/>
  <c r="C37" i="26"/>
  <c r="N7" i="26"/>
  <c r="B37" i="26"/>
  <c r="Y157" i="1"/>
  <c r="Y156" i="1"/>
  <c r="Y158" i="1"/>
  <c r="N101" i="21"/>
  <c r="W167" i="1"/>
  <c r="J23" i="21"/>
  <c r="M23" i="21"/>
  <c r="M17" i="21"/>
  <c r="Y73" i="21"/>
  <c r="L84" i="21"/>
  <c r="C97" i="21"/>
  <c r="D97" i="21"/>
  <c r="E97" i="21"/>
  <c r="F97" i="21"/>
  <c r="M83" i="21"/>
  <c r="M88" i="21"/>
  <c r="W83" i="21"/>
  <c r="W88" i="21"/>
  <c r="G11" i="21"/>
  <c r="I35" i="21"/>
  <c r="L35" i="21"/>
  <c r="G47" i="21"/>
  <c r="J41" i="21"/>
  <c r="J88" i="21"/>
  <c r="T83" i="21"/>
  <c r="T88" i="21"/>
  <c r="L44" i="21"/>
  <c r="I101" i="21"/>
  <c r="O100" i="21"/>
  <c r="D84" i="21"/>
  <c r="E84" i="21"/>
  <c r="F84" i="21"/>
  <c r="M7" i="21"/>
  <c r="H11" i="21"/>
  <c r="K11" i="21"/>
  <c r="M20" i="21"/>
  <c r="D46" i="21"/>
  <c r="J46" i="21"/>
  <c r="M46" i="21"/>
  <c r="H47" i="21"/>
  <c r="K47" i="21"/>
  <c r="I73" i="21"/>
  <c r="L73" i="21"/>
  <c r="L67" i="21"/>
  <c r="K82" i="21"/>
  <c r="N88" i="21"/>
  <c r="X83" i="21"/>
  <c r="X88" i="21"/>
  <c r="M87" i="21"/>
  <c r="Y94" i="21"/>
  <c r="J11" i="21"/>
  <c r="M11" i="21"/>
  <c r="L5" i="21"/>
  <c r="J82" i="21"/>
  <c r="J84" i="21"/>
  <c r="M6" i="21"/>
  <c r="K8" i="21"/>
  <c r="D87" i="21"/>
  <c r="E87" i="21"/>
  <c r="F87" i="21"/>
  <c r="L9" i="21"/>
  <c r="N82" i="21"/>
  <c r="M10" i="21"/>
  <c r="I11" i="21"/>
  <c r="L11" i="21"/>
  <c r="G23" i="21"/>
  <c r="D29" i="21"/>
  <c r="J30" i="21"/>
  <c r="M30" i="21"/>
  <c r="J32" i="21"/>
  <c r="M32" i="21"/>
  <c r="K42" i="21"/>
  <c r="G59" i="21"/>
  <c r="J53" i="21"/>
  <c r="J55" i="21"/>
  <c r="M55" i="21"/>
  <c r="J67" i="21"/>
  <c r="Y69" i="21"/>
  <c r="Y70" i="21"/>
  <c r="C83" i="21"/>
  <c r="C94" i="21"/>
  <c r="D94" i="21"/>
  <c r="C95" i="21"/>
  <c r="D95" i="21"/>
  <c r="E95" i="21"/>
  <c r="F95" i="21"/>
  <c r="I82" i="21"/>
  <c r="M5" i="21"/>
  <c r="L8" i="21"/>
  <c r="M82" i="21"/>
  <c r="M9" i="21"/>
  <c r="C98" i="21"/>
  <c r="D98" i="21"/>
  <c r="E98" i="21"/>
  <c r="F98" i="21"/>
  <c r="G35" i="21"/>
  <c r="H30" i="21"/>
  <c r="K30" i="21"/>
  <c r="H32" i="21"/>
  <c r="K32" i="21"/>
  <c r="J34" i="21"/>
  <c r="M34" i="21"/>
  <c r="L42" i="21"/>
  <c r="H53" i="21"/>
  <c r="B59" i="21"/>
  <c r="J70" i="21"/>
  <c r="M70" i="21"/>
  <c r="K79" i="21"/>
  <c r="I83" i="21"/>
  <c r="D93" i="21"/>
  <c r="O95" i="21"/>
  <c r="C96" i="21"/>
  <c r="D96" i="21"/>
  <c r="O99" i="21"/>
  <c r="C47" i="21"/>
  <c r="C59" i="21"/>
  <c r="C78" i="21"/>
  <c r="D78" i="21"/>
  <c r="H17" i="21"/>
  <c r="H29" i="21"/>
  <c r="H73" i="21"/>
  <c r="K73" i="21"/>
  <c r="K101" i="21"/>
  <c r="I41" i="21"/>
  <c r="I53" i="21"/>
  <c r="AA183" i="1"/>
  <c r="Y174" i="1"/>
  <c r="M74" i="26"/>
  <c r="L79" i="26"/>
  <c r="M79" i="26"/>
  <c r="J79" i="26"/>
  <c r="Z181" i="1"/>
  <c r="J67" i="26"/>
  <c r="B49" i="26"/>
  <c r="R32" i="26"/>
  <c r="AF32" i="26"/>
  <c r="AJ32" i="26"/>
  <c r="BG13" i="26"/>
  <c r="H40" i="26"/>
  <c r="N32" i="26"/>
  <c r="J37" i="26"/>
  <c r="E37" i="26"/>
  <c r="K37" i="26"/>
  <c r="G37" i="26"/>
  <c r="AT32" i="26"/>
  <c r="E38" i="26"/>
  <c r="K38" i="26"/>
  <c r="G38" i="26"/>
  <c r="B50" i="26"/>
  <c r="E39" i="26"/>
  <c r="K39" i="26"/>
  <c r="G39" i="26"/>
  <c r="BH13" i="26"/>
  <c r="M67" i="26"/>
  <c r="AE32" i="26"/>
  <c r="BG32" i="26"/>
  <c r="N23" i="26"/>
  <c r="B41" i="26"/>
  <c r="J41" i="26"/>
  <c r="T32" i="26"/>
  <c r="AD23" i="26"/>
  <c r="BH23" i="26"/>
  <c r="I41" i="26"/>
  <c r="O32" i="26"/>
  <c r="I42" i="26"/>
  <c r="E42" i="26"/>
  <c r="K42" i="26"/>
  <c r="G42" i="26"/>
  <c r="L67" i="26"/>
  <c r="M61" i="26"/>
  <c r="AR13" i="26"/>
  <c r="AC31" i="26"/>
  <c r="H37" i="26"/>
  <c r="AC13" i="26"/>
  <c r="D40" i="26"/>
  <c r="AS13" i="26"/>
  <c r="G40" i="26"/>
  <c r="W419" i="1"/>
  <c r="W420" i="1"/>
  <c r="W418" i="1"/>
  <c r="X429" i="1"/>
  <c r="Y429" i="1"/>
  <c r="Z429" i="1"/>
  <c r="AA429" i="1"/>
  <c r="AB429" i="1"/>
  <c r="W429" i="1"/>
  <c r="W393" i="1"/>
  <c r="W392" i="1"/>
  <c r="W391" i="1"/>
  <c r="X402" i="1"/>
  <c r="Y402" i="1"/>
  <c r="Z402" i="1"/>
  <c r="AA402" i="1"/>
  <c r="AB402" i="1"/>
  <c r="W402" i="1"/>
  <c r="O101" i="21"/>
  <c r="C89" i="21"/>
  <c r="D83" i="21"/>
  <c r="W82" i="21"/>
  <c r="M89" i="21"/>
  <c r="E88" i="21"/>
  <c r="F88" i="21"/>
  <c r="I59" i="21"/>
  <c r="L59" i="21"/>
  <c r="L53" i="21"/>
  <c r="H35" i="21"/>
  <c r="K35" i="21"/>
  <c r="K29" i="21"/>
  <c r="D99" i="21"/>
  <c r="E93" i="21"/>
  <c r="I84" i="21"/>
  <c r="O84" i="21"/>
  <c r="O82" i="21"/>
  <c r="I87" i="21"/>
  <c r="M53" i="21"/>
  <c r="J59" i="21"/>
  <c r="M59" i="21"/>
  <c r="M41" i="21"/>
  <c r="J47" i="21"/>
  <c r="D47" i="21"/>
  <c r="E86" i="21"/>
  <c r="F86" i="21"/>
  <c r="I88" i="21"/>
  <c r="I47" i="21"/>
  <c r="L47" i="21"/>
  <c r="L41" i="21"/>
  <c r="H23" i="21"/>
  <c r="K17" i="21"/>
  <c r="O83" i="21"/>
  <c r="K53" i="21"/>
  <c r="H59" i="21"/>
  <c r="K59" i="21"/>
  <c r="M84" i="21"/>
  <c r="K87" i="21"/>
  <c r="K84" i="21"/>
  <c r="I78" i="21"/>
  <c r="E78" i="21"/>
  <c r="E96" i="21"/>
  <c r="F96" i="21"/>
  <c r="E94" i="21"/>
  <c r="F94" i="21"/>
  <c r="M67" i="21"/>
  <c r="J73" i="21"/>
  <c r="M73" i="21"/>
  <c r="J87" i="21"/>
  <c r="J29" i="21"/>
  <c r="D35" i="21"/>
  <c r="N87" i="21"/>
  <c r="N84" i="21"/>
  <c r="C79" i="21"/>
  <c r="C99" i="21"/>
  <c r="L87" i="21"/>
  <c r="C53" i="26"/>
  <c r="C50" i="26"/>
  <c r="L39" i="26"/>
  <c r="D50" i="26"/>
  <c r="C48" i="26"/>
  <c r="C49" i="26"/>
  <c r="L38" i="26"/>
  <c r="D49" i="26"/>
  <c r="F40" i="26"/>
  <c r="J40" i="26"/>
  <c r="AR32" i="26"/>
  <c r="E49" i="26"/>
  <c r="H49" i="26"/>
  <c r="E41" i="26"/>
  <c r="K41" i="26"/>
  <c r="G41" i="26"/>
  <c r="E50" i="26"/>
  <c r="H50" i="26"/>
  <c r="B48" i="26"/>
  <c r="L37" i="26"/>
  <c r="I40" i="26"/>
  <c r="K40" i="26"/>
  <c r="BH32" i="26"/>
  <c r="AD32" i="26"/>
  <c r="AS32" i="26"/>
  <c r="F42" i="26"/>
  <c r="D42" i="26"/>
  <c r="J42" i="26"/>
  <c r="B52" i="26"/>
  <c r="AC32" i="26"/>
  <c r="W371" i="1"/>
  <c r="W373" i="1"/>
  <c r="X382" i="1"/>
  <c r="Y382" i="1"/>
  <c r="Z382" i="1"/>
  <c r="AA382" i="1"/>
  <c r="AB382" i="1"/>
  <c r="W382" i="1"/>
  <c r="W372" i="1"/>
  <c r="K23" i="21"/>
  <c r="D77" i="21"/>
  <c r="J35" i="21"/>
  <c r="M35" i="21"/>
  <c r="M29" i="21"/>
  <c r="F93" i="21"/>
  <c r="F99" i="21"/>
  <c r="E99" i="21"/>
  <c r="W84" i="21"/>
  <c r="W87" i="21"/>
  <c r="W89" i="21"/>
  <c r="J89" i="21"/>
  <c r="T82" i="21"/>
  <c r="K89" i="21"/>
  <c r="U82" i="21"/>
  <c r="M47" i="21"/>
  <c r="O87" i="21"/>
  <c r="S82" i="21"/>
  <c r="I89" i="21"/>
  <c r="O89" i="21"/>
  <c r="D89" i="21"/>
  <c r="E83" i="21"/>
  <c r="L89" i="21"/>
  <c r="V82" i="21"/>
  <c r="N89" i="21"/>
  <c r="X82" i="21"/>
  <c r="F78" i="21"/>
  <c r="J78" i="21"/>
  <c r="O88" i="21"/>
  <c r="S83" i="21"/>
  <c r="C51" i="26"/>
  <c r="M40" i="26"/>
  <c r="K43" i="26"/>
  <c r="B51" i="26"/>
  <c r="L40" i="26"/>
  <c r="D51" i="26"/>
  <c r="J43" i="26"/>
  <c r="B53" i="26"/>
  <c r="L42" i="26"/>
  <c r="M41" i="26"/>
  <c r="C52" i="26"/>
  <c r="F53" i="26"/>
  <c r="N50" i="26"/>
  <c r="K50" i="26"/>
  <c r="K49" i="26"/>
  <c r="J49" i="26"/>
  <c r="N49" i="26"/>
  <c r="F48" i="26"/>
  <c r="I50" i="26"/>
  <c r="F50" i="26"/>
  <c r="E52" i="26"/>
  <c r="H52" i="26"/>
  <c r="L43" i="26"/>
  <c r="D48" i="26"/>
  <c r="Q50" i="26"/>
  <c r="G50" i="26"/>
  <c r="G49" i="26"/>
  <c r="M38" i="26"/>
  <c r="M37" i="26"/>
  <c r="M39" i="26"/>
  <c r="L41" i="26"/>
  <c r="D52" i="26"/>
  <c r="E48" i="26"/>
  <c r="H48" i="26"/>
  <c r="B54" i="26"/>
  <c r="F49" i="26"/>
  <c r="I49" i="26"/>
  <c r="Z93" i="1"/>
  <c r="V87" i="21"/>
  <c r="V84" i="21"/>
  <c r="U87" i="21"/>
  <c r="U84" i="21"/>
  <c r="S84" i="21"/>
  <c r="S87" i="21"/>
  <c r="Y82" i="21"/>
  <c r="S77" i="21"/>
  <c r="X84" i="21"/>
  <c r="X87" i="21"/>
  <c r="X89" i="21"/>
  <c r="E89" i="21"/>
  <c r="F83" i="21"/>
  <c r="F89" i="21"/>
  <c r="T84" i="21"/>
  <c r="T87" i="21"/>
  <c r="T89" i="21"/>
  <c r="E77" i="21"/>
  <c r="I77" i="21"/>
  <c r="I79" i="21"/>
  <c r="D79" i="21"/>
  <c r="Y83" i="21"/>
  <c r="S78" i="21"/>
  <c r="S88" i="21"/>
  <c r="Y88" i="21"/>
  <c r="T78" i="21"/>
  <c r="O50" i="26"/>
  <c r="P50" i="26"/>
  <c r="L50" i="26"/>
  <c r="I52" i="26"/>
  <c r="F52" i="26"/>
  <c r="K48" i="26"/>
  <c r="K52" i="26"/>
  <c r="J52" i="26"/>
  <c r="F54" i="26"/>
  <c r="J50" i="26"/>
  <c r="F51" i="26"/>
  <c r="I51" i="26"/>
  <c r="L49" i="26"/>
  <c r="R49" i="26"/>
  <c r="G48" i="26"/>
  <c r="Q52" i="26"/>
  <c r="G52" i="26"/>
  <c r="C54" i="26"/>
  <c r="D53" i="26"/>
  <c r="M42" i="26"/>
  <c r="E51" i="26"/>
  <c r="Q49" i="26"/>
  <c r="D54" i="26"/>
  <c r="R50" i="26"/>
  <c r="I48" i="26"/>
  <c r="M50" i="26"/>
  <c r="S50" i="26"/>
  <c r="I53" i="26"/>
  <c r="H53" i="26"/>
  <c r="E53" i="26"/>
  <c r="M43" i="26"/>
  <c r="E39" i="4"/>
  <c r="G43" i="4"/>
  <c r="F44" i="4"/>
  <c r="D27" i="4"/>
  <c r="E16" i="4"/>
  <c r="E14" i="4"/>
  <c r="U93" i="21"/>
  <c r="U95" i="21"/>
  <c r="U89" i="21"/>
  <c r="E79" i="21"/>
  <c r="F77" i="21"/>
  <c r="S93" i="21"/>
  <c r="Y87" i="21"/>
  <c r="T77" i="21"/>
  <c r="S89" i="21"/>
  <c r="Y89" i="21"/>
  <c r="T79" i="21"/>
  <c r="Y84" i="21"/>
  <c r="S79" i="21"/>
  <c r="V93" i="21"/>
  <c r="V95" i="21"/>
  <c r="V89" i="21"/>
  <c r="K53" i="26"/>
  <c r="M53" i="26"/>
  <c r="N53" i="26"/>
  <c r="J53" i="26"/>
  <c r="G51" i="26"/>
  <c r="M48" i="26"/>
  <c r="L52" i="26"/>
  <c r="R52" i="26"/>
  <c r="O53" i="26"/>
  <c r="L53" i="26"/>
  <c r="R53" i="26"/>
  <c r="H51" i="26"/>
  <c r="M49" i="26"/>
  <c r="S49" i="26"/>
  <c r="S48" i="26"/>
  <c r="O49" i="26"/>
  <c r="P49" i="26"/>
  <c r="N48" i="26"/>
  <c r="Q48" i="26"/>
  <c r="L51" i="26"/>
  <c r="O51" i="26"/>
  <c r="G53" i="26"/>
  <c r="S53" i="26"/>
  <c r="Q53" i="26"/>
  <c r="I54" i="26"/>
  <c r="L48" i="26"/>
  <c r="O48" i="26"/>
  <c r="E54" i="26"/>
  <c r="G54" i="26"/>
  <c r="R51" i="26"/>
  <c r="N52" i="26"/>
  <c r="J48" i="26"/>
  <c r="E35" i="25"/>
  <c r="H34" i="25"/>
  <c r="E34" i="25"/>
  <c r="H33" i="25"/>
  <c r="E33" i="25"/>
  <c r="H31" i="25"/>
  <c r="E31" i="25"/>
  <c r="H30" i="25"/>
  <c r="E30" i="25"/>
  <c r="H29" i="25"/>
  <c r="E29" i="25"/>
  <c r="H27" i="25"/>
  <c r="E27" i="25"/>
  <c r="H26" i="25"/>
  <c r="E26" i="25"/>
  <c r="H25" i="25"/>
  <c r="E25" i="25"/>
  <c r="H23" i="25"/>
  <c r="E23" i="25"/>
  <c r="H22" i="25"/>
  <c r="H8" i="25"/>
  <c r="E22" i="25"/>
  <c r="H21" i="25"/>
  <c r="E21" i="25"/>
  <c r="H19" i="25"/>
  <c r="H9" i="25"/>
  <c r="E19" i="25"/>
  <c r="H18" i="25"/>
  <c r="E18" i="25"/>
  <c r="H17" i="25"/>
  <c r="E17" i="25"/>
  <c r="H15" i="25"/>
  <c r="H14" i="25"/>
  <c r="H13" i="25"/>
  <c r="H7" i="25"/>
  <c r="G9" i="25"/>
  <c r="F9" i="25"/>
  <c r="E9" i="25"/>
  <c r="D9" i="25"/>
  <c r="G8" i="25"/>
  <c r="F8" i="25"/>
  <c r="E8" i="25"/>
  <c r="D8" i="25"/>
  <c r="C8" i="25"/>
  <c r="G7" i="25"/>
  <c r="F7" i="25"/>
  <c r="E7" i="25"/>
  <c r="C7" i="25"/>
  <c r="D7" i="25"/>
  <c r="X398" i="1"/>
  <c r="Y398" i="1"/>
  <c r="Z398" i="1"/>
  <c r="AA398" i="1"/>
  <c r="AB398" i="1"/>
  <c r="W398" i="1"/>
  <c r="W388" i="1"/>
  <c r="W387" i="1"/>
  <c r="X378" i="1"/>
  <c r="Y378" i="1"/>
  <c r="Z378" i="1"/>
  <c r="AA378" i="1"/>
  <c r="AB378" i="1"/>
  <c r="W378" i="1"/>
  <c r="W367" i="1"/>
  <c r="W368" i="1"/>
  <c r="W369" i="1"/>
  <c r="H20" i="24"/>
  <c r="G20" i="24"/>
  <c r="F20" i="24"/>
  <c r="L13" i="24"/>
  <c r="L14" i="24"/>
  <c r="L15" i="24"/>
  <c r="L16" i="24"/>
  <c r="L17" i="24"/>
  <c r="M17" i="24"/>
  <c r="L18" i="24"/>
  <c r="E19" i="24"/>
  <c r="K13" i="24"/>
  <c r="K14" i="24"/>
  <c r="K15" i="24"/>
  <c r="K16" i="24"/>
  <c r="K17" i="24"/>
  <c r="K18" i="24"/>
  <c r="D19" i="24"/>
  <c r="H19" i="24"/>
  <c r="G19" i="24"/>
  <c r="F19" i="24"/>
  <c r="O18" i="24"/>
  <c r="N18" i="24"/>
  <c r="M18" i="24"/>
  <c r="H18" i="24"/>
  <c r="G18" i="24"/>
  <c r="F18" i="24"/>
  <c r="O17" i="24"/>
  <c r="N17" i="24"/>
  <c r="H17" i="24"/>
  <c r="G17" i="24"/>
  <c r="F17" i="24"/>
  <c r="O16" i="24"/>
  <c r="M16" i="24"/>
  <c r="H16" i="24"/>
  <c r="G16" i="24"/>
  <c r="F16" i="24"/>
  <c r="O15" i="24"/>
  <c r="N15" i="24"/>
  <c r="M15" i="24"/>
  <c r="H15" i="24"/>
  <c r="G15" i="24"/>
  <c r="F15" i="24"/>
  <c r="O14" i="24"/>
  <c r="N14" i="24"/>
  <c r="M14" i="24"/>
  <c r="H14" i="24"/>
  <c r="G14" i="24"/>
  <c r="F14" i="24"/>
  <c r="O13" i="24"/>
  <c r="N13" i="24"/>
  <c r="H13" i="24"/>
  <c r="G13" i="24"/>
  <c r="F13" i="24"/>
  <c r="H48" i="23"/>
  <c r="G48" i="23"/>
  <c r="F48" i="23"/>
  <c r="E48" i="23"/>
  <c r="D48" i="23"/>
  <c r="C48" i="23"/>
  <c r="B48" i="23"/>
  <c r="H41" i="23"/>
  <c r="G41" i="23"/>
  <c r="F41" i="23"/>
  <c r="E41" i="23"/>
  <c r="D41" i="23"/>
  <c r="C41" i="23"/>
  <c r="B41" i="23"/>
  <c r="H34" i="23"/>
  <c r="G34" i="23"/>
  <c r="F34" i="23"/>
  <c r="E34" i="23"/>
  <c r="D34" i="23"/>
  <c r="C34" i="23"/>
  <c r="B34" i="23"/>
  <c r="Q27" i="23"/>
  <c r="Q26" i="23"/>
  <c r="Q25" i="23"/>
  <c r="Q24" i="23"/>
  <c r="Q23" i="23"/>
  <c r="Q20" i="23"/>
  <c r="Q19" i="23"/>
  <c r="Q18" i="23"/>
  <c r="Q17" i="23"/>
  <c r="Q16" i="23"/>
  <c r="Q12" i="23"/>
  <c r="Q11" i="23"/>
  <c r="Q10" i="23"/>
  <c r="Q9" i="23"/>
  <c r="Q8" i="23"/>
  <c r="O218" i="1"/>
  <c r="V209" i="1"/>
  <c r="U209" i="1"/>
  <c r="T209" i="1"/>
  <c r="G16" i="20"/>
  <c r="G17" i="20"/>
  <c r="F17" i="20"/>
  <c r="F16" i="20"/>
  <c r="F18" i="20"/>
  <c r="E17" i="20"/>
  <c r="E16" i="20"/>
  <c r="E18" i="20"/>
  <c r="D16" i="20"/>
  <c r="D17" i="20"/>
  <c r="D18" i="20"/>
  <c r="C16" i="20"/>
  <c r="C18" i="20"/>
  <c r="C17" i="20"/>
  <c r="B16" i="20"/>
  <c r="B18" i="20"/>
  <c r="B17" i="20"/>
  <c r="G41" i="20"/>
  <c r="I41" i="20"/>
  <c r="H14" i="20"/>
  <c r="G18" i="20"/>
  <c r="V163" i="1"/>
  <c r="U163" i="1"/>
  <c r="T163" i="1"/>
  <c r="S163" i="1"/>
  <c r="R163" i="1"/>
  <c r="Q163" i="1"/>
  <c r="S153" i="1"/>
  <c r="S155" i="1"/>
  <c r="T93" i="1"/>
  <c r="R167" i="1"/>
  <c r="S167" i="1"/>
  <c r="T167" i="1"/>
  <c r="U167" i="1"/>
  <c r="V167" i="1"/>
  <c r="Q167" i="1"/>
  <c r="S174" i="1"/>
  <c r="S173" i="1"/>
  <c r="S172" i="1"/>
  <c r="S158" i="1"/>
  <c r="Q371" i="1"/>
  <c r="Q419" i="1"/>
  <c r="Q418" i="1"/>
  <c r="V429" i="1"/>
  <c r="U429" i="1"/>
  <c r="T429" i="1"/>
  <c r="S429" i="1"/>
  <c r="R429" i="1"/>
  <c r="Q429" i="1"/>
  <c r="Q392" i="1"/>
  <c r="Q391" i="1"/>
  <c r="Q393" i="1"/>
  <c r="V402" i="1"/>
  <c r="U402" i="1"/>
  <c r="T402" i="1"/>
  <c r="S402" i="1"/>
  <c r="R402" i="1"/>
  <c r="Q402" i="1"/>
  <c r="Q372" i="1"/>
  <c r="Q373" i="1"/>
  <c r="V382" i="1"/>
  <c r="U382" i="1"/>
  <c r="T382" i="1"/>
  <c r="S382" i="1"/>
  <c r="R382" i="1"/>
  <c r="Q382" i="1"/>
  <c r="Q420" i="1"/>
  <c r="G157" i="1"/>
  <c r="H16" i="22"/>
  <c r="I16" i="22"/>
  <c r="H17" i="22"/>
  <c r="I17" i="22"/>
  <c r="K17" i="22"/>
  <c r="H18" i="22"/>
  <c r="I18" i="22"/>
  <c r="H21" i="22"/>
  <c r="H22" i="22"/>
  <c r="I22" i="22"/>
  <c r="K22" i="22"/>
  <c r="H20" i="22"/>
  <c r="I20" i="22"/>
  <c r="L20" i="22"/>
  <c r="O57" i="22"/>
  <c r="K20" i="22"/>
  <c r="O13" i="22"/>
  <c r="R13" i="22"/>
  <c r="Q13" i="22"/>
  <c r="R12" i="22"/>
  <c r="R11" i="22"/>
  <c r="R10" i="22"/>
  <c r="R9" i="22"/>
  <c r="R8" i="22"/>
  <c r="R7" i="22"/>
  <c r="H5" i="22"/>
  <c r="I5" i="22"/>
  <c r="L5" i="22"/>
  <c r="K5" i="22"/>
  <c r="H6" i="22"/>
  <c r="I6" i="22"/>
  <c r="H7" i="22"/>
  <c r="H10" i="22"/>
  <c r="I10" i="22"/>
  <c r="H11" i="22"/>
  <c r="I11" i="22"/>
  <c r="K11" i="22"/>
  <c r="H9" i="22"/>
  <c r="I9" i="22"/>
  <c r="H38" i="22"/>
  <c r="H46" i="22"/>
  <c r="I38" i="22"/>
  <c r="H39" i="22"/>
  <c r="I39" i="22"/>
  <c r="H40" i="22"/>
  <c r="I40" i="22"/>
  <c r="H42" i="22"/>
  <c r="I42" i="22"/>
  <c r="H43" i="22"/>
  <c r="I43" i="22"/>
  <c r="H44" i="22"/>
  <c r="I44" i="22"/>
  <c r="F46" i="22"/>
  <c r="S13" i="22"/>
  <c r="U13" i="22"/>
  <c r="V13" i="22"/>
  <c r="V12" i="22"/>
  <c r="H27" i="22"/>
  <c r="H35" i="22"/>
  <c r="I27" i="22"/>
  <c r="H28" i="22"/>
  <c r="I28" i="22"/>
  <c r="H29" i="22"/>
  <c r="I29" i="22"/>
  <c r="H31" i="22"/>
  <c r="I31" i="22"/>
  <c r="H32" i="22"/>
  <c r="I32" i="22"/>
  <c r="H33" i="22"/>
  <c r="I33" i="22"/>
  <c r="F35" i="22"/>
  <c r="V11" i="22"/>
  <c r="V10" i="22"/>
  <c r="V9" i="22"/>
  <c r="V8" i="22"/>
  <c r="V7" i="22"/>
  <c r="F24" i="22"/>
  <c r="T13" i="22"/>
  <c r="P13" i="22"/>
  <c r="F13" i="22"/>
  <c r="K62" i="10"/>
  <c r="M62" i="10"/>
  <c r="I62" i="10"/>
  <c r="K61" i="10"/>
  <c r="I61" i="10"/>
  <c r="M61" i="10"/>
  <c r="K58" i="10"/>
  <c r="I58" i="10"/>
  <c r="M58" i="10"/>
  <c r="K57" i="10"/>
  <c r="M57" i="10"/>
  <c r="I57" i="10"/>
  <c r="K52" i="10"/>
  <c r="M52" i="10"/>
  <c r="I52" i="10"/>
  <c r="K51" i="10"/>
  <c r="I51" i="10"/>
  <c r="M51" i="10"/>
  <c r="K48" i="10"/>
  <c r="I48" i="10"/>
  <c r="M48" i="10"/>
  <c r="K47" i="10"/>
  <c r="M47" i="10"/>
  <c r="I47" i="10"/>
  <c r="K42" i="10"/>
  <c r="M42" i="10"/>
  <c r="I42" i="10"/>
  <c r="K41" i="10"/>
  <c r="I41" i="10"/>
  <c r="M41" i="10"/>
  <c r="K38" i="10"/>
  <c r="I38" i="10"/>
  <c r="M38" i="10"/>
  <c r="K37" i="10"/>
  <c r="I37" i="10"/>
  <c r="K32" i="10"/>
  <c r="I32" i="10"/>
  <c r="M32" i="10"/>
  <c r="K31" i="10"/>
  <c r="I31" i="10"/>
  <c r="M31" i="10"/>
  <c r="K28" i="10"/>
  <c r="M28" i="10"/>
  <c r="I28" i="10"/>
  <c r="M27" i="10"/>
  <c r="I27" i="10"/>
  <c r="K22" i="10"/>
  <c r="M22" i="10"/>
  <c r="I21" i="10"/>
  <c r="I18" i="10"/>
  <c r="K17" i="10"/>
  <c r="I17" i="10"/>
  <c r="M17" i="10"/>
  <c r="K12" i="10"/>
  <c r="M12" i="10"/>
  <c r="K11" i="10"/>
  <c r="M11" i="10"/>
  <c r="I11" i="10"/>
  <c r="K8" i="10"/>
  <c r="M8" i="10"/>
  <c r="I8" i="10"/>
  <c r="K7" i="10"/>
  <c r="I7" i="10"/>
  <c r="M7" i="10"/>
  <c r="H86" i="10"/>
  <c r="K69" i="10"/>
  <c r="J86" i="10"/>
  <c r="I69" i="10"/>
  <c r="Z207" i="1"/>
  <c r="T207" i="1"/>
  <c r="P41" i="20"/>
  <c r="Q41" i="20"/>
  <c r="R41" i="20"/>
  <c r="P42" i="20"/>
  <c r="P43" i="20"/>
  <c r="Q43" i="20"/>
  <c r="P44" i="20"/>
  <c r="Q44" i="20"/>
  <c r="R44" i="20"/>
  <c r="P45" i="20"/>
  <c r="Q45" i="20"/>
  <c r="R45" i="20"/>
  <c r="P46" i="20"/>
  <c r="R49" i="20"/>
  <c r="G42" i="20"/>
  <c r="G43" i="20"/>
  <c r="I43" i="20"/>
  <c r="G44" i="20"/>
  <c r="I44" i="20"/>
  <c r="G45" i="20"/>
  <c r="G46" i="20"/>
  <c r="G47" i="20"/>
  <c r="I42" i="20"/>
  <c r="I45" i="20"/>
  <c r="I46" i="20"/>
  <c r="J49" i="20"/>
  <c r="S154" i="1"/>
  <c r="X163" i="1"/>
  <c r="AA163" i="1"/>
  <c r="AB163" i="1"/>
  <c r="G156" i="1"/>
  <c r="F167" i="1"/>
  <c r="G167" i="1"/>
  <c r="H167" i="1"/>
  <c r="I167" i="1"/>
  <c r="J167" i="1"/>
  <c r="E167" i="1"/>
  <c r="M157" i="1"/>
  <c r="M156" i="1"/>
  <c r="L167" i="1"/>
  <c r="M167" i="1"/>
  <c r="N167" i="1"/>
  <c r="O167" i="1"/>
  <c r="P167" i="1"/>
  <c r="K167" i="1"/>
  <c r="G158" i="1"/>
  <c r="M158" i="1"/>
  <c r="U398" i="1"/>
  <c r="U378" i="1"/>
  <c r="Q417" i="1"/>
  <c r="Q389" i="1"/>
  <c r="Q369" i="1"/>
  <c r="N47" i="20"/>
  <c r="J41" i="20"/>
  <c r="E47" i="20"/>
  <c r="P47" i="20"/>
  <c r="H18" i="20"/>
  <c r="H17" i="20"/>
  <c r="H16" i="20"/>
  <c r="H10" i="20"/>
  <c r="H11" i="20"/>
  <c r="H9" i="20"/>
  <c r="J46" i="20"/>
  <c r="J42" i="20"/>
  <c r="I31" i="20"/>
  <c r="H31" i="20"/>
  <c r="F31" i="20"/>
  <c r="I30" i="20"/>
  <c r="H30" i="20"/>
  <c r="F30" i="20"/>
  <c r="E29" i="20"/>
  <c r="D29" i="20"/>
  <c r="C29" i="20"/>
  <c r="I27" i="20"/>
  <c r="I29" i="20"/>
  <c r="H27" i="20"/>
  <c r="H29" i="20"/>
  <c r="F27" i="20"/>
  <c r="F29" i="20"/>
  <c r="G51" i="20"/>
  <c r="J43" i="20"/>
  <c r="J44" i="20"/>
  <c r="J45" i="20"/>
  <c r="L398" i="1"/>
  <c r="M398" i="1"/>
  <c r="N398" i="1"/>
  <c r="O398" i="1"/>
  <c r="P398" i="1"/>
  <c r="K398" i="1"/>
  <c r="P425" i="1"/>
  <c r="O425" i="1"/>
  <c r="N425" i="1"/>
  <c r="M425" i="1"/>
  <c r="L425" i="1"/>
  <c r="K425" i="1"/>
  <c r="L378" i="1"/>
  <c r="M378" i="1"/>
  <c r="N378" i="1"/>
  <c r="O378" i="1"/>
  <c r="P378" i="1"/>
  <c r="K378" i="1"/>
  <c r="E68" i="4"/>
  <c r="D68" i="4"/>
  <c r="C68" i="4"/>
  <c r="B68" i="4"/>
  <c r="E66" i="4"/>
  <c r="D66" i="4"/>
  <c r="C66" i="4"/>
  <c r="B66" i="4"/>
  <c r="E64" i="4"/>
  <c r="D64" i="4"/>
  <c r="D58" i="4"/>
  <c r="D57" i="4"/>
  <c r="D60" i="4"/>
  <c r="D62" i="4"/>
  <c r="C64" i="4"/>
  <c r="B64" i="4"/>
  <c r="M62" i="4"/>
  <c r="L62" i="4"/>
  <c r="J62" i="4"/>
  <c r="I62" i="4"/>
  <c r="H62" i="4"/>
  <c r="E62" i="4"/>
  <c r="C62" i="4"/>
  <c r="B62" i="4"/>
  <c r="E60" i="4"/>
  <c r="E58" i="4"/>
  <c r="E57" i="4"/>
  <c r="C60" i="4"/>
  <c r="B60" i="4"/>
  <c r="B58" i="4"/>
  <c r="B57" i="4"/>
  <c r="M59" i="4"/>
  <c r="L59" i="4"/>
  <c r="K59" i="4"/>
  <c r="J59" i="4"/>
  <c r="I59" i="4"/>
  <c r="H59" i="4"/>
  <c r="C58" i="4"/>
  <c r="C57" i="4"/>
  <c r="M56" i="4"/>
  <c r="L56" i="4"/>
  <c r="J56" i="4"/>
  <c r="I56" i="4"/>
  <c r="H56" i="4"/>
  <c r="G51" i="4"/>
  <c r="G52" i="4"/>
  <c r="F52" i="4"/>
  <c r="E52" i="4"/>
  <c r="C52" i="4"/>
  <c r="B52" i="4"/>
  <c r="D51" i="4"/>
  <c r="D52" i="4"/>
  <c r="G49" i="4"/>
  <c r="F50" i="4"/>
  <c r="E50" i="4"/>
  <c r="C50" i="4"/>
  <c r="B50" i="4"/>
  <c r="D49" i="4"/>
  <c r="D50" i="4"/>
  <c r="G47" i="4"/>
  <c r="F48" i="4"/>
  <c r="E48" i="4"/>
  <c r="C48" i="4"/>
  <c r="B48" i="4"/>
  <c r="D47" i="4"/>
  <c r="D48" i="4"/>
  <c r="G45" i="4"/>
  <c r="G46" i="4"/>
  <c r="F46" i="4"/>
  <c r="E46" i="4"/>
  <c r="C46" i="4"/>
  <c r="B46" i="4"/>
  <c r="D45" i="4"/>
  <c r="D46" i="4"/>
  <c r="E44" i="4"/>
  <c r="C44" i="4"/>
  <c r="B44" i="4"/>
  <c r="D43" i="4"/>
  <c r="D44" i="4"/>
  <c r="G41" i="4"/>
  <c r="G42" i="4"/>
  <c r="F42" i="4"/>
  <c r="E42" i="4"/>
  <c r="C42" i="4"/>
  <c r="B42" i="4"/>
  <c r="D41" i="4"/>
  <c r="D42" i="4"/>
  <c r="F39" i="4"/>
  <c r="F40" i="4"/>
  <c r="K5" i="4"/>
  <c r="B39" i="4"/>
  <c r="D39" i="4"/>
  <c r="D40" i="4"/>
  <c r="B40" i="4"/>
  <c r="E40" i="4"/>
  <c r="E33" i="4"/>
  <c r="D33" i="4"/>
  <c r="C33" i="4"/>
  <c r="B33" i="4"/>
  <c r="E31" i="4"/>
  <c r="D31" i="4"/>
  <c r="C31" i="4"/>
  <c r="B31" i="4"/>
  <c r="E29" i="4"/>
  <c r="D29" i="4"/>
  <c r="C29" i="4"/>
  <c r="B29" i="4"/>
  <c r="E27" i="4"/>
  <c r="C27" i="4"/>
  <c r="B27" i="4"/>
  <c r="E25" i="4"/>
  <c r="D25" i="4"/>
  <c r="C25" i="4"/>
  <c r="B25" i="4"/>
  <c r="E23" i="4"/>
  <c r="D23" i="4"/>
  <c r="D22" i="4"/>
  <c r="C23" i="4"/>
  <c r="C22" i="4"/>
  <c r="B23" i="4"/>
  <c r="B22" i="4"/>
  <c r="D16" i="4"/>
  <c r="C16" i="4"/>
  <c r="B16" i="4"/>
  <c r="C14" i="4"/>
  <c r="B14" i="4"/>
  <c r="E12" i="4"/>
  <c r="D12" i="4"/>
  <c r="C12" i="4"/>
  <c r="B12" i="4"/>
  <c r="P11" i="4"/>
  <c r="Q11" i="4"/>
  <c r="R11" i="4"/>
  <c r="N11" i="4"/>
  <c r="O11" i="4"/>
  <c r="P10" i="4"/>
  <c r="Q10" i="4"/>
  <c r="O10" i="4"/>
  <c r="E10" i="4"/>
  <c r="D10" i="4"/>
  <c r="D6" i="4"/>
  <c r="D5" i="4"/>
  <c r="D8" i="4"/>
  <c r="C10" i="4"/>
  <c r="B10" i="4"/>
  <c r="P9" i="4"/>
  <c r="Q9" i="4"/>
  <c r="N9" i="4"/>
  <c r="O9" i="4"/>
  <c r="M8" i="4"/>
  <c r="P8" i="4"/>
  <c r="R8" i="4"/>
  <c r="E8" i="4"/>
  <c r="C8" i="4"/>
  <c r="B8" i="4"/>
  <c r="M7" i="4"/>
  <c r="P7" i="4"/>
  <c r="R7" i="4"/>
  <c r="P6" i="4"/>
  <c r="R6" i="4"/>
  <c r="Q6" i="4"/>
  <c r="O6" i="4"/>
  <c r="E6" i="4"/>
  <c r="E5" i="4"/>
  <c r="C6" i="4"/>
  <c r="C5" i="4"/>
  <c r="B6" i="4"/>
  <c r="B5" i="4"/>
  <c r="L5" i="4"/>
  <c r="C40" i="4"/>
  <c r="I5" i="4"/>
  <c r="H17" i="4"/>
  <c r="H23" i="4"/>
  <c r="H5" i="4"/>
  <c r="K2" i="4"/>
  <c r="I23" i="4"/>
  <c r="K19" i="4"/>
  <c r="K23" i="4"/>
  <c r="O8" i="4"/>
  <c r="L17" i="4"/>
  <c r="L19" i="4"/>
  <c r="L23" i="4"/>
  <c r="I17" i="4"/>
  <c r="I19" i="4"/>
  <c r="I2" i="4"/>
  <c r="K17" i="4"/>
  <c r="H19" i="4"/>
  <c r="N373" i="1"/>
  <c r="O7" i="10"/>
  <c r="O7" i="7"/>
  <c r="C37" i="7"/>
  <c r="AD7" i="7"/>
  <c r="E37" i="7"/>
  <c r="BH7" i="7"/>
  <c r="I37" i="7"/>
  <c r="O8" i="7"/>
  <c r="C38" i="7"/>
  <c r="AD8" i="7"/>
  <c r="E38" i="7"/>
  <c r="G38" i="7"/>
  <c r="BH8" i="7"/>
  <c r="I38" i="7"/>
  <c r="O9" i="7"/>
  <c r="C39" i="7"/>
  <c r="AD9" i="7"/>
  <c r="E39" i="7"/>
  <c r="G39" i="7"/>
  <c r="BH9" i="7"/>
  <c r="I39" i="7"/>
  <c r="C13" i="7"/>
  <c r="E13" i="7"/>
  <c r="G13" i="7"/>
  <c r="I13" i="7"/>
  <c r="O13" i="7"/>
  <c r="C40" i="7"/>
  <c r="K13" i="7"/>
  <c r="M13" i="7"/>
  <c r="R13" i="7"/>
  <c r="T13" i="7"/>
  <c r="V13" i="7"/>
  <c r="X13" i="7"/>
  <c r="AD13" i="7"/>
  <c r="E40" i="7"/>
  <c r="Z13" i="7"/>
  <c r="AB13" i="7"/>
  <c r="AG13" i="7"/>
  <c r="AI13" i="7"/>
  <c r="AK13" i="7"/>
  <c r="AM13" i="7"/>
  <c r="AS13" i="7"/>
  <c r="AO13" i="7"/>
  <c r="AQ13" i="7"/>
  <c r="AV13" i="7"/>
  <c r="AX13" i="7"/>
  <c r="AZ13" i="7"/>
  <c r="BB13" i="7"/>
  <c r="BH13" i="7"/>
  <c r="BD13" i="7"/>
  <c r="BF13" i="7"/>
  <c r="C23" i="7"/>
  <c r="O23" i="7"/>
  <c r="C41" i="7"/>
  <c r="E23" i="7"/>
  <c r="G23" i="7"/>
  <c r="I23" i="7"/>
  <c r="K23" i="7"/>
  <c r="M23" i="7"/>
  <c r="R23" i="7"/>
  <c r="AD23" i="7"/>
  <c r="T23" i="7"/>
  <c r="V23" i="7"/>
  <c r="X23" i="7"/>
  <c r="Z23" i="7"/>
  <c r="AB23" i="7"/>
  <c r="AV23" i="7"/>
  <c r="BH23" i="7"/>
  <c r="I41" i="7"/>
  <c r="AX23" i="7"/>
  <c r="AZ23" i="7"/>
  <c r="BB23" i="7"/>
  <c r="BD23" i="7"/>
  <c r="BF23" i="7"/>
  <c r="C31" i="7"/>
  <c r="E31" i="7"/>
  <c r="G31" i="7"/>
  <c r="I31" i="7"/>
  <c r="K31" i="7"/>
  <c r="M31" i="7"/>
  <c r="O31" i="7"/>
  <c r="C42" i="7"/>
  <c r="R31" i="7"/>
  <c r="T31" i="7"/>
  <c r="V31" i="7"/>
  <c r="X31" i="7"/>
  <c r="Z31" i="7"/>
  <c r="AB31" i="7"/>
  <c r="AD31" i="7"/>
  <c r="E42" i="7"/>
  <c r="N7" i="7"/>
  <c r="B37" i="7"/>
  <c r="AC7" i="7"/>
  <c r="D37" i="7"/>
  <c r="AR7" i="7"/>
  <c r="F37" i="7"/>
  <c r="BG7" i="7"/>
  <c r="H37" i="7"/>
  <c r="N8" i="7"/>
  <c r="B38" i="7"/>
  <c r="AC8" i="7"/>
  <c r="D38" i="7"/>
  <c r="AR8" i="7"/>
  <c r="F38" i="7"/>
  <c r="BG8" i="7"/>
  <c r="H38" i="7"/>
  <c r="N9" i="7"/>
  <c r="B39" i="7"/>
  <c r="J39" i="7"/>
  <c r="AC9" i="7"/>
  <c r="D39" i="7"/>
  <c r="AR9" i="7"/>
  <c r="F39" i="7"/>
  <c r="BG9" i="7"/>
  <c r="H39" i="7"/>
  <c r="B13" i="7"/>
  <c r="N13" i="7"/>
  <c r="B40" i="7"/>
  <c r="D13" i="7"/>
  <c r="F13" i="7"/>
  <c r="H13" i="7"/>
  <c r="J13" i="7"/>
  <c r="L13" i="7"/>
  <c r="Q13" i="7"/>
  <c r="AC13" i="7"/>
  <c r="S13" i="7"/>
  <c r="U13" i="7"/>
  <c r="W13" i="7"/>
  <c r="Y13" i="7"/>
  <c r="AA13" i="7"/>
  <c r="AF13" i="7"/>
  <c r="AR13" i="7"/>
  <c r="AH13" i="7"/>
  <c r="AJ13" i="7"/>
  <c r="AL13" i="7"/>
  <c r="AN13" i="7"/>
  <c r="AP13" i="7"/>
  <c r="AU13" i="7"/>
  <c r="BG13" i="7"/>
  <c r="AW13" i="7"/>
  <c r="AY13" i="7"/>
  <c r="BA13" i="7"/>
  <c r="BC13" i="7"/>
  <c r="BE13" i="7"/>
  <c r="B23" i="7"/>
  <c r="N23" i="7"/>
  <c r="B41" i="7"/>
  <c r="D23" i="7"/>
  <c r="D32" i="7"/>
  <c r="F23" i="7"/>
  <c r="H23" i="7"/>
  <c r="J23" i="7"/>
  <c r="L23" i="7"/>
  <c r="Q23" i="7"/>
  <c r="AC23" i="7"/>
  <c r="D41" i="7"/>
  <c r="S23" i="7"/>
  <c r="U23" i="7"/>
  <c r="W23" i="7"/>
  <c r="Y23" i="7"/>
  <c r="AA23" i="7"/>
  <c r="AF23" i="7"/>
  <c r="AR23" i="7"/>
  <c r="F41" i="7"/>
  <c r="AH23" i="7"/>
  <c r="AJ23" i="7"/>
  <c r="AL23" i="7"/>
  <c r="AN23" i="7"/>
  <c r="AP23" i="7"/>
  <c r="AU23" i="7"/>
  <c r="BG23" i="7"/>
  <c r="H41" i="7"/>
  <c r="AW23" i="7"/>
  <c r="AW32" i="7"/>
  <c r="AY23" i="7"/>
  <c r="BA23" i="7"/>
  <c r="BC23" i="7"/>
  <c r="BE23" i="7"/>
  <c r="B31" i="7"/>
  <c r="D31" i="7"/>
  <c r="F31" i="7"/>
  <c r="H31" i="7"/>
  <c r="J31" i="7"/>
  <c r="L31" i="7"/>
  <c r="N31" i="7"/>
  <c r="B42" i="7"/>
  <c r="Q31" i="7"/>
  <c r="S31" i="7"/>
  <c r="U31" i="7"/>
  <c r="W31" i="7"/>
  <c r="Y31" i="7"/>
  <c r="AA31" i="7"/>
  <c r="AC31" i="7"/>
  <c r="D42" i="7"/>
  <c r="AU31" i="7"/>
  <c r="BG31" i="7"/>
  <c r="H42" i="7"/>
  <c r="AW31" i="7"/>
  <c r="AY31" i="7"/>
  <c r="BA31" i="7"/>
  <c r="BC31" i="7"/>
  <c r="BE31" i="7"/>
  <c r="C21" i="14"/>
  <c r="G26" i="14"/>
  <c r="G25" i="14"/>
  <c r="E26" i="14"/>
  <c r="E25" i="14"/>
  <c r="E22" i="14"/>
  <c r="C25" i="14"/>
  <c r="C26" i="14"/>
  <c r="G22" i="14"/>
  <c r="G21" i="14"/>
  <c r="E21" i="14"/>
  <c r="C22" i="14"/>
  <c r="I86" i="10"/>
  <c r="F86" i="10"/>
  <c r="I72" i="10"/>
  <c r="E86" i="10"/>
  <c r="M72" i="10"/>
  <c r="O72" i="10"/>
  <c r="D86" i="10"/>
  <c r="K85" i="10"/>
  <c r="G85" i="10"/>
  <c r="K84" i="10"/>
  <c r="G84" i="10"/>
  <c r="K83" i="10"/>
  <c r="G83" i="10"/>
  <c r="K82" i="10"/>
  <c r="G82" i="10"/>
  <c r="K81" i="10"/>
  <c r="G81" i="10"/>
  <c r="K80" i="10"/>
  <c r="G80" i="10"/>
  <c r="I73" i="10"/>
  <c r="I70" i="10"/>
  <c r="K70" i="10"/>
  <c r="O62" i="10"/>
  <c r="O61" i="10"/>
  <c r="O52" i="10"/>
  <c r="O51" i="10"/>
  <c r="O42" i="10"/>
  <c r="O41" i="10"/>
  <c r="O37" i="10"/>
  <c r="O32" i="10"/>
  <c r="O31" i="10"/>
  <c r="O28" i="10"/>
  <c r="O27" i="10"/>
  <c r="O17" i="10"/>
  <c r="O11" i="10"/>
  <c r="O8" i="10"/>
  <c r="J32" i="7"/>
  <c r="L32" i="7"/>
  <c r="AJ31" i="7"/>
  <c r="AJ32" i="7"/>
  <c r="AU32" i="7"/>
  <c r="M32" i="7"/>
  <c r="T32" i="7"/>
  <c r="AI23" i="7"/>
  <c r="AI31" i="7"/>
  <c r="AI32" i="7"/>
  <c r="AK23" i="7"/>
  <c r="AK31" i="7"/>
  <c r="AK32" i="7"/>
  <c r="AZ31" i="7"/>
  <c r="AZ32" i="7"/>
  <c r="BF31" i="7"/>
  <c r="BF32" i="7"/>
  <c r="AN31" i="7"/>
  <c r="AN32" i="7"/>
  <c r="BE32" i="7"/>
  <c r="C32" i="7"/>
  <c r="E32" i="7"/>
  <c r="K32" i="7"/>
  <c r="AB32" i="7"/>
  <c r="BI7" i="7"/>
  <c r="BI8" i="7"/>
  <c r="BI9" i="7"/>
  <c r="BI10" i="7"/>
  <c r="BI13" i="7"/>
  <c r="BI11" i="7"/>
  <c r="BI12" i="7"/>
  <c r="BI14" i="7"/>
  <c r="BI15" i="7"/>
  <c r="BI16" i="7"/>
  <c r="BI17" i="7"/>
  <c r="BI18" i="7"/>
  <c r="BI19" i="7"/>
  <c r="BI20" i="7"/>
  <c r="BI21" i="7"/>
  <c r="BI22" i="7"/>
  <c r="BI24" i="7"/>
  <c r="BI31" i="7"/>
  <c r="BI25" i="7"/>
  <c r="BI26" i="7"/>
  <c r="BI27" i="7"/>
  <c r="BI28" i="7"/>
  <c r="BI29" i="7"/>
  <c r="BI30" i="7"/>
  <c r="AV31" i="7"/>
  <c r="AV32" i="7"/>
  <c r="AX31" i="7"/>
  <c r="BB31" i="7"/>
  <c r="BD31" i="7"/>
  <c r="BD32" i="7"/>
  <c r="BC32" i="7"/>
  <c r="BB32" i="7"/>
  <c r="BA32" i="7"/>
  <c r="AY32" i="7"/>
  <c r="AX32" i="7"/>
  <c r="AT7" i="7"/>
  <c r="AT8" i="7"/>
  <c r="AT9" i="7"/>
  <c r="AT10" i="7"/>
  <c r="AT11" i="7"/>
  <c r="AT12" i="7"/>
  <c r="AT14" i="7"/>
  <c r="AT15" i="7"/>
  <c r="AT16" i="7"/>
  <c r="AT23" i="7"/>
  <c r="AT17" i="7"/>
  <c r="AT18" i="7"/>
  <c r="AT19" i="7"/>
  <c r="AT20" i="7"/>
  <c r="AT21" i="7"/>
  <c r="AT22" i="7"/>
  <c r="AT24" i="7"/>
  <c r="AT31" i="7"/>
  <c r="AT25" i="7"/>
  <c r="AT26" i="7"/>
  <c r="AT27" i="7"/>
  <c r="AT28" i="7"/>
  <c r="AT29" i="7"/>
  <c r="AT30" i="7"/>
  <c r="AS7" i="7"/>
  <c r="AS8" i="7"/>
  <c r="AS9" i="7"/>
  <c r="AG23" i="7"/>
  <c r="AG32" i="7"/>
  <c r="AG31" i="7"/>
  <c r="AM23" i="7"/>
  <c r="AO23" i="7"/>
  <c r="AO32" i="7"/>
  <c r="AO31" i="7"/>
  <c r="AQ23" i="7"/>
  <c r="AM31" i="7"/>
  <c r="AQ31" i="7"/>
  <c r="AQ32" i="7"/>
  <c r="AF31" i="7"/>
  <c r="AF32" i="7"/>
  <c r="AH31" i="7"/>
  <c r="AL31" i="7"/>
  <c r="AL32" i="7"/>
  <c r="AP31" i="7"/>
  <c r="AP32" i="7"/>
  <c r="AM32" i="7"/>
  <c r="AH32" i="7"/>
  <c r="AE7" i="7"/>
  <c r="AE8" i="7"/>
  <c r="AE9" i="7"/>
  <c r="AE10" i="7"/>
  <c r="AE11" i="7"/>
  <c r="AE13" i="7"/>
  <c r="AE32" i="7"/>
  <c r="AE12" i="7"/>
  <c r="AE14" i="7"/>
  <c r="AE15" i="7"/>
  <c r="AE16" i="7"/>
  <c r="AE23" i="7"/>
  <c r="AE17" i="7"/>
  <c r="AE18" i="7"/>
  <c r="AE19" i="7"/>
  <c r="AE20" i="7"/>
  <c r="AE21" i="7"/>
  <c r="AE22" i="7"/>
  <c r="AE24" i="7"/>
  <c r="AE31" i="7"/>
  <c r="AE25" i="7"/>
  <c r="AE26" i="7"/>
  <c r="AE27" i="7"/>
  <c r="AE28" i="7"/>
  <c r="AE29" i="7"/>
  <c r="AE30" i="7"/>
  <c r="AA32" i="7"/>
  <c r="Z32" i="7"/>
  <c r="Y32" i="7"/>
  <c r="X32" i="7"/>
  <c r="W32" i="7"/>
  <c r="U32" i="7"/>
  <c r="R32" i="7"/>
  <c r="Q32" i="7"/>
  <c r="P7" i="7"/>
  <c r="P8" i="7"/>
  <c r="P9" i="7"/>
  <c r="P10" i="7"/>
  <c r="P11" i="7"/>
  <c r="P12" i="7"/>
  <c r="P14" i="7"/>
  <c r="P15" i="7"/>
  <c r="P16" i="7"/>
  <c r="P17" i="7"/>
  <c r="P18" i="7"/>
  <c r="P19" i="7"/>
  <c r="P20" i="7"/>
  <c r="P21" i="7"/>
  <c r="P22" i="7"/>
  <c r="P24" i="7"/>
  <c r="P25" i="7"/>
  <c r="P31" i="7"/>
  <c r="P26" i="7"/>
  <c r="P27" i="7"/>
  <c r="P28" i="7"/>
  <c r="P29" i="7"/>
  <c r="P30" i="7"/>
  <c r="G32" i="7"/>
  <c r="I32" i="7"/>
  <c r="B32" i="7"/>
  <c r="N32" i="7"/>
  <c r="F32" i="7"/>
  <c r="H32" i="7"/>
  <c r="E14" i="6"/>
  <c r="F14" i="6"/>
  <c r="F15" i="6"/>
  <c r="I15" i="6"/>
  <c r="K15" i="6"/>
  <c r="F16" i="6"/>
  <c r="I16" i="6"/>
  <c r="K16" i="6"/>
  <c r="F17" i="6"/>
  <c r="I17" i="6"/>
  <c r="K17" i="6"/>
  <c r="F18" i="6"/>
  <c r="I18" i="6"/>
  <c r="K18" i="6"/>
  <c r="D19" i="6"/>
  <c r="F19" i="6"/>
  <c r="I19" i="6"/>
  <c r="K19" i="6"/>
  <c r="D18" i="6"/>
  <c r="D17" i="6"/>
  <c r="D16" i="6"/>
  <c r="D15" i="6"/>
  <c r="B13" i="6"/>
  <c r="F13" i="6"/>
  <c r="I13" i="6"/>
  <c r="F4" i="6"/>
  <c r="F6" i="6"/>
  <c r="F7" i="6"/>
  <c r="B6" i="6"/>
  <c r="J4" i="6"/>
  <c r="D4" i="6"/>
  <c r="D6" i="6"/>
  <c r="D7" i="6"/>
  <c r="D5" i="6"/>
  <c r="J5" i="6"/>
  <c r="E14" i="5"/>
  <c r="E8" i="5"/>
  <c r="E13" i="5"/>
  <c r="I13" i="5"/>
  <c r="K13" i="5"/>
  <c r="G13" i="5"/>
  <c r="E12" i="5"/>
  <c r="G12" i="5"/>
  <c r="E11" i="5"/>
  <c r="I11" i="5"/>
  <c r="K11" i="5"/>
  <c r="G11" i="5"/>
  <c r="E10" i="5"/>
  <c r="I10" i="5"/>
  <c r="K10" i="5"/>
  <c r="G10" i="5"/>
  <c r="H10" i="5"/>
  <c r="J10" i="5"/>
  <c r="E9" i="5"/>
  <c r="I9" i="5"/>
  <c r="B8" i="5"/>
  <c r="C8" i="5"/>
  <c r="B45" i="3"/>
  <c r="M45" i="3"/>
  <c r="J45" i="3"/>
  <c r="B44" i="3"/>
  <c r="M44" i="3"/>
  <c r="J44" i="3"/>
  <c r="B43" i="3"/>
  <c r="M43" i="3"/>
  <c r="J43" i="3"/>
  <c r="B42" i="3"/>
  <c r="M42" i="3"/>
  <c r="J42" i="3"/>
  <c r="B41" i="3"/>
  <c r="M41" i="3"/>
  <c r="J41" i="3"/>
  <c r="B40" i="3"/>
  <c r="M40" i="3"/>
  <c r="J40" i="3"/>
  <c r="L39" i="3"/>
  <c r="M39" i="3"/>
  <c r="J34" i="3"/>
  <c r="K34" i="3"/>
  <c r="B34" i="3"/>
  <c r="M34" i="3"/>
  <c r="J33" i="3"/>
  <c r="K33" i="3"/>
  <c r="B33" i="3"/>
  <c r="M33" i="3"/>
  <c r="J32" i="3"/>
  <c r="K32" i="3"/>
  <c r="B32" i="3"/>
  <c r="M32" i="3"/>
  <c r="J31" i="3"/>
  <c r="K31" i="3"/>
  <c r="B31" i="3"/>
  <c r="M31" i="3"/>
  <c r="J30" i="3"/>
  <c r="K30" i="3"/>
  <c r="B30" i="3"/>
  <c r="M30" i="3"/>
  <c r="J29" i="3"/>
  <c r="K29" i="3"/>
  <c r="B29" i="3"/>
  <c r="M29" i="3"/>
  <c r="M28" i="3"/>
  <c r="B22" i="3"/>
  <c r="M22" i="3"/>
  <c r="J22" i="3"/>
  <c r="B21" i="3"/>
  <c r="M21" i="3"/>
  <c r="J21" i="3"/>
  <c r="B20" i="3"/>
  <c r="M20" i="3"/>
  <c r="J20" i="3"/>
  <c r="B19" i="3"/>
  <c r="M19" i="3"/>
  <c r="J19" i="3"/>
  <c r="B18" i="3"/>
  <c r="M18" i="3"/>
  <c r="J18" i="3"/>
  <c r="B17" i="3"/>
  <c r="M17" i="3"/>
  <c r="J17" i="3"/>
  <c r="L16" i="3"/>
  <c r="M16" i="3"/>
  <c r="H11" i="3"/>
  <c r="B11" i="3"/>
  <c r="M11" i="3"/>
  <c r="H10" i="3"/>
  <c r="B10" i="3"/>
  <c r="M10" i="3"/>
  <c r="H9" i="3"/>
  <c r="B9" i="3"/>
  <c r="M9" i="3"/>
  <c r="H8" i="3"/>
  <c r="B8" i="3"/>
  <c r="M8" i="3"/>
  <c r="H7" i="3"/>
  <c r="B7" i="3"/>
  <c r="M7" i="3"/>
  <c r="H6" i="3"/>
  <c r="B6" i="3"/>
  <c r="M6" i="3"/>
  <c r="B5" i="3"/>
  <c r="L5" i="3"/>
  <c r="M5" i="3"/>
  <c r="P23" i="7"/>
  <c r="BI23" i="7"/>
  <c r="I14" i="5"/>
  <c r="K14" i="5"/>
  <c r="O32" i="7"/>
  <c r="AD32" i="7"/>
  <c r="I12" i="5"/>
  <c r="V32" i="7"/>
  <c r="S32" i="7"/>
  <c r="K72" i="10"/>
  <c r="K73" i="10"/>
  <c r="M69" i="10"/>
  <c r="O69" i="10"/>
  <c r="M70" i="10"/>
  <c r="O70" i="10"/>
  <c r="AS31" i="7"/>
  <c r="AT13" i="7"/>
  <c r="G9" i="5"/>
  <c r="P13" i="7"/>
  <c r="P32" i="7"/>
  <c r="AR31" i="7"/>
  <c r="AS23" i="7"/>
  <c r="BI32" i="7"/>
  <c r="O38" i="10"/>
  <c r="O48" i="10"/>
  <c r="O58" i="10"/>
  <c r="O47" i="10"/>
  <c r="O57" i="10"/>
  <c r="H12" i="5"/>
  <c r="J12" i="5"/>
  <c r="K12" i="5"/>
  <c r="J77" i="21"/>
  <c r="J79" i="21"/>
  <c r="F79" i="21"/>
  <c r="S95" i="21"/>
  <c r="Y95" i="21"/>
  <c r="Y93" i="21"/>
  <c r="P53" i="26"/>
  <c r="P52" i="26"/>
  <c r="O54" i="26"/>
  <c r="N54" i="26"/>
  <c r="P54" i="26"/>
  <c r="P48" i="26"/>
  <c r="L54" i="26"/>
  <c r="R48" i="26"/>
  <c r="R54" i="26"/>
  <c r="M52" i="26"/>
  <c r="S52" i="26"/>
  <c r="K51" i="26"/>
  <c r="J51" i="26"/>
  <c r="N51" i="26"/>
  <c r="P51" i="26"/>
  <c r="H54" i="26"/>
  <c r="J54" i="26"/>
  <c r="O52" i="26"/>
  <c r="D40" i="7"/>
  <c r="J40" i="7"/>
  <c r="AC32" i="7"/>
  <c r="J41" i="7"/>
  <c r="AR32" i="7"/>
  <c r="F40" i="7"/>
  <c r="E41" i="7"/>
  <c r="K41" i="7"/>
  <c r="G41" i="7"/>
  <c r="R9" i="4"/>
  <c r="Q5" i="4"/>
  <c r="H11" i="5"/>
  <c r="J11" i="5"/>
  <c r="H13" i="5"/>
  <c r="J13" i="5"/>
  <c r="J37" i="7"/>
  <c r="I40" i="7"/>
  <c r="K9" i="5"/>
  <c r="I8" i="5"/>
  <c r="K8" i="5"/>
  <c r="BG32" i="7"/>
  <c r="H40" i="7"/>
  <c r="B50" i="7"/>
  <c r="H9" i="5"/>
  <c r="AT32" i="7"/>
  <c r="J38" i="7"/>
  <c r="AS32" i="7"/>
  <c r="G40" i="7"/>
  <c r="K40" i="7"/>
  <c r="K39" i="7"/>
  <c r="L39" i="7"/>
  <c r="D50" i="7"/>
  <c r="K38" i="7"/>
  <c r="E22" i="4"/>
  <c r="K44" i="22"/>
  <c r="L44" i="22"/>
  <c r="O34" i="22"/>
  <c r="K42" i="22"/>
  <c r="L42" i="22"/>
  <c r="O35" i="22"/>
  <c r="K39" i="22"/>
  <c r="L39" i="22"/>
  <c r="O31" i="22"/>
  <c r="K16" i="22"/>
  <c r="I42" i="7"/>
  <c r="M5" i="4"/>
  <c r="H2" i="4"/>
  <c r="N5" i="4"/>
  <c r="R10" i="4"/>
  <c r="T44" i="20"/>
  <c r="U44" i="20"/>
  <c r="Q42" i="20"/>
  <c r="Q47" i="20"/>
  <c r="I14" i="6"/>
  <c r="G14" i="5"/>
  <c r="H14" i="5"/>
  <c r="J14" i="5"/>
  <c r="D14" i="6"/>
  <c r="BH31" i="7"/>
  <c r="BH32" i="7"/>
  <c r="M73" i="10"/>
  <c r="O73" i="10"/>
  <c r="F42" i="7"/>
  <c r="J42" i="7"/>
  <c r="G42" i="7"/>
  <c r="K42" i="7"/>
  <c r="G37" i="7"/>
  <c r="K37" i="7"/>
  <c r="T45" i="20"/>
  <c r="U45" i="20"/>
  <c r="U41" i="20"/>
  <c r="T41" i="20"/>
  <c r="K32" i="22"/>
  <c r="L32" i="22"/>
  <c r="O22" i="22"/>
  <c r="K29" i="22"/>
  <c r="L29" i="22"/>
  <c r="O21" i="22"/>
  <c r="K27" i="22"/>
  <c r="K10" i="22"/>
  <c r="L10" i="22"/>
  <c r="O44" i="22"/>
  <c r="P57" i="22"/>
  <c r="Q57" i="22"/>
  <c r="R57" i="22"/>
  <c r="O7" i="4"/>
  <c r="Q46" i="20"/>
  <c r="R46" i="20"/>
  <c r="R43" i="20"/>
  <c r="I22" i="10"/>
  <c r="O22" i="10"/>
  <c r="Q21" i="22"/>
  <c r="K6" i="22"/>
  <c r="L6" i="22"/>
  <c r="O42" i="22"/>
  <c r="K19" i="24"/>
  <c r="N16" i="24"/>
  <c r="C9" i="25"/>
  <c r="I47" i="20"/>
  <c r="I51" i="20"/>
  <c r="I12" i="10"/>
  <c r="O12" i="10"/>
  <c r="L11" i="22"/>
  <c r="O45" i="22"/>
  <c r="I21" i="22"/>
  <c r="H24" i="22"/>
  <c r="L17" i="22"/>
  <c r="O53" i="22"/>
  <c r="K33" i="22"/>
  <c r="L33" i="22"/>
  <c r="O23" i="22"/>
  <c r="K31" i="22"/>
  <c r="L31" i="22"/>
  <c r="O24" i="22"/>
  <c r="Q24" i="22"/>
  <c r="K28" i="22"/>
  <c r="L28" i="22"/>
  <c r="O20" i="22"/>
  <c r="K43" i="22"/>
  <c r="L43" i="22"/>
  <c r="O33" i="22"/>
  <c r="K40" i="22"/>
  <c r="L40" i="22"/>
  <c r="O32" i="22"/>
  <c r="K38" i="22"/>
  <c r="L38" i="22"/>
  <c r="K9" i="22"/>
  <c r="L9" i="22"/>
  <c r="O46" i="22"/>
  <c r="I7" i="22"/>
  <c r="H13" i="22"/>
  <c r="O41" i="22"/>
  <c r="L22" i="22"/>
  <c r="O56" i="22"/>
  <c r="K18" i="22"/>
  <c r="L18" i="22"/>
  <c r="O54" i="22"/>
  <c r="L19" i="24"/>
  <c r="O19" i="24"/>
  <c r="M13" i="24"/>
  <c r="G50" i="4"/>
  <c r="G48" i="4"/>
  <c r="G44" i="4"/>
  <c r="G39" i="4"/>
  <c r="G40" i="4"/>
  <c r="M51" i="26"/>
  <c r="S51" i="26"/>
  <c r="S54" i="26"/>
  <c r="K54" i="26"/>
  <c r="M54" i="26"/>
  <c r="Q51" i="26"/>
  <c r="Q54" i="26"/>
  <c r="T46" i="20"/>
  <c r="U46" i="20"/>
  <c r="M37" i="7"/>
  <c r="C48" i="7"/>
  <c r="K43" i="7"/>
  <c r="P20" i="22"/>
  <c r="Q20" i="22"/>
  <c r="R20" i="22"/>
  <c r="P22" i="22"/>
  <c r="Q22" i="22"/>
  <c r="R22" i="22"/>
  <c r="C53" i="7"/>
  <c r="P35" i="22"/>
  <c r="Q35" i="22"/>
  <c r="R35" i="22"/>
  <c r="P54" i="22"/>
  <c r="Q54" i="22"/>
  <c r="R54" i="22"/>
  <c r="R32" i="22"/>
  <c r="P32" i="22"/>
  <c r="Q32" i="22"/>
  <c r="L42" i="7"/>
  <c r="D53" i="7"/>
  <c r="B53" i="7"/>
  <c r="C52" i="7"/>
  <c r="R23" i="22"/>
  <c r="P23" i="22"/>
  <c r="Q23" i="22"/>
  <c r="P46" i="22"/>
  <c r="Q46" i="22"/>
  <c r="R46" i="22"/>
  <c r="L40" i="7"/>
  <c r="D51" i="7"/>
  <c r="B51" i="7"/>
  <c r="K35" i="22"/>
  <c r="L38" i="7"/>
  <c r="D49" i="7"/>
  <c r="B49" i="7"/>
  <c r="E50" i="7"/>
  <c r="H50" i="7"/>
  <c r="J43" i="7"/>
  <c r="B48" i="7"/>
  <c r="L37" i="7"/>
  <c r="K7" i="22"/>
  <c r="K13" i="22"/>
  <c r="K46" i="22"/>
  <c r="J47" i="20"/>
  <c r="J51" i="20"/>
  <c r="K21" i="22"/>
  <c r="K24" i="22"/>
  <c r="K14" i="6"/>
  <c r="I20" i="6"/>
  <c r="H8" i="5"/>
  <c r="J8" i="5"/>
  <c r="J9" i="5"/>
  <c r="P53" i="22"/>
  <c r="Q53" i="22"/>
  <c r="R53" i="22"/>
  <c r="P42" i="22"/>
  <c r="Q42" i="22"/>
  <c r="R42" i="22"/>
  <c r="Y154" i="1"/>
  <c r="P41" i="22"/>
  <c r="Q41" i="22"/>
  <c r="R41" i="22"/>
  <c r="N19" i="24"/>
  <c r="M19" i="24"/>
  <c r="L27" i="22"/>
  <c r="R42" i="20"/>
  <c r="L16" i="22"/>
  <c r="C49" i="7"/>
  <c r="M38" i="7"/>
  <c r="P56" i="22"/>
  <c r="Q56" i="22"/>
  <c r="R56" i="22"/>
  <c r="P45" i="22"/>
  <c r="Q45" i="22"/>
  <c r="R45" i="22"/>
  <c r="C50" i="7"/>
  <c r="M39" i="7"/>
  <c r="O30" i="22"/>
  <c r="L46" i="22"/>
  <c r="R33" i="22"/>
  <c r="P33" i="22"/>
  <c r="Q33" i="22"/>
  <c r="R24" i="22"/>
  <c r="P24" i="22"/>
  <c r="U43" i="20"/>
  <c r="T43" i="20"/>
  <c r="Q44" i="22"/>
  <c r="R44" i="22"/>
  <c r="P44" i="22"/>
  <c r="R21" i="22"/>
  <c r="P21" i="22"/>
  <c r="H21" i="4"/>
  <c r="K21" i="4"/>
  <c r="O5" i="4"/>
  <c r="L21" i="4"/>
  <c r="I21" i="4"/>
  <c r="P5" i="4"/>
  <c r="R5" i="4"/>
  <c r="P31" i="22"/>
  <c r="Q31" i="22"/>
  <c r="R31" i="22"/>
  <c r="R34" i="22"/>
  <c r="P34" i="22"/>
  <c r="Q34" i="22"/>
  <c r="M40" i="7"/>
  <c r="C51" i="7"/>
  <c r="B52" i="7"/>
  <c r="L41" i="7"/>
  <c r="D52" i="7"/>
  <c r="O52" i="22"/>
  <c r="P30" i="22"/>
  <c r="Q30" i="22"/>
  <c r="R30" i="22"/>
  <c r="O36" i="22"/>
  <c r="F49" i="7"/>
  <c r="I49" i="7"/>
  <c r="L21" i="22"/>
  <c r="O55" i="22"/>
  <c r="L7" i="22"/>
  <c r="E53" i="7"/>
  <c r="I53" i="7"/>
  <c r="F53" i="7"/>
  <c r="C54" i="7"/>
  <c r="F48" i="7"/>
  <c r="I48" i="7"/>
  <c r="L35" i="22"/>
  <c r="O19" i="22"/>
  <c r="K50" i="7"/>
  <c r="N50" i="7"/>
  <c r="F51" i="7"/>
  <c r="I51" i="7"/>
  <c r="F50" i="7"/>
  <c r="G50" i="7"/>
  <c r="T42" i="20"/>
  <c r="U42" i="20"/>
  <c r="R47" i="20"/>
  <c r="D48" i="7"/>
  <c r="D54" i="7"/>
  <c r="L43" i="7"/>
  <c r="H51" i="7"/>
  <c r="E51" i="7"/>
  <c r="M41" i="7"/>
  <c r="E52" i="7"/>
  <c r="B54" i="7"/>
  <c r="E48" i="7"/>
  <c r="H48" i="7"/>
  <c r="E49" i="7"/>
  <c r="H49" i="7"/>
  <c r="F52" i="7"/>
  <c r="M42" i="7"/>
  <c r="M43" i="7"/>
  <c r="L48" i="7"/>
  <c r="O48" i="7"/>
  <c r="L49" i="7"/>
  <c r="O49" i="7"/>
  <c r="K48" i="7"/>
  <c r="J48" i="7"/>
  <c r="L51" i="7"/>
  <c r="R51" i="7"/>
  <c r="G52" i="7"/>
  <c r="G53" i="7"/>
  <c r="I52" i="7"/>
  <c r="G51" i="7"/>
  <c r="I50" i="7"/>
  <c r="I54" i="7"/>
  <c r="H53" i="7"/>
  <c r="P36" i="22"/>
  <c r="Q36" i="22"/>
  <c r="R36" i="22"/>
  <c r="L24" i="22"/>
  <c r="J51" i="7"/>
  <c r="K51" i="7"/>
  <c r="Q51" i="7"/>
  <c r="P52" i="22"/>
  <c r="O58" i="22"/>
  <c r="Q52" i="22"/>
  <c r="R52" i="22"/>
  <c r="Q49" i="7"/>
  <c r="G49" i="7"/>
  <c r="H52" i="7"/>
  <c r="O43" i="22"/>
  <c r="L13" i="22"/>
  <c r="K49" i="7"/>
  <c r="M49" i="7"/>
  <c r="N49" i="7"/>
  <c r="J49" i="7"/>
  <c r="E54" i="7"/>
  <c r="G48" i="7"/>
  <c r="Q50" i="7"/>
  <c r="T47" i="20"/>
  <c r="U47" i="20"/>
  <c r="R51" i="20"/>
  <c r="O25" i="22"/>
  <c r="P19" i="22"/>
  <c r="Q19" i="22"/>
  <c r="R19" i="22"/>
  <c r="F54" i="7"/>
  <c r="R48" i="7"/>
  <c r="L53" i="7"/>
  <c r="R53" i="7"/>
  <c r="P55" i="22"/>
  <c r="Q55" i="22"/>
  <c r="R55" i="22"/>
  <c r="R49" i="7"/>
  <c r="K52" i="7"/>
  <c r="J52" i="7"/>
  <c r="N52" i="7"/>
  <c r="P52" i="7"/>
  <c r="M48" i="7"/>
  <c r="K54" i="7"/>
  <c r="G54" i="7"/>
  <c r="S49" i="7"/>
  <c r="P58" i="22"/>
  <c r="R58" i="22"/>
  <c r="Q58" i="22"/>
  <c r="K53" i="7"/>
  <c r="J53" i="7"/>
  <c r="N53" i="7"/>
  <c r="L52" i="7"/>
  <c r="R52" i="7"/>
  <c r="O52" i="7"/>
  <c r="O51" i="7"/>
  <c r="L50" i="7"/>
  <c r="J50" i="7"/>
  <c r="O53" i="7"/>
  <c r="T51" i="20"/>
  <c r="U51" i="20"/>
  <c r="S48" i="7"/>
  <c r="Q43" i="22"/>
  <c r="R43" i="22"/>
  <c r="P43" i="22"/>
  <c r="O47" i="22"/>
  <c r="N51" i="7"/>
  <c r="P51" i="7"/>
  <c r="P25" i="22"/>
  <c r="Q25" i="22"/>
  <c r="R25" i="22"/>
  <c r="Q48" i="7"/>
  <c r="P49" i="7"/>
  <c r="M51" i="7"/>
  <c r="S51" i="7"/>
  <c r="H54" i="7"/>
  <c r="J54" i="7"/>
  <c r="M50" i="7"/>
  <c r="S50" i="7"/>
  <c r="R50" i="7"/>
  <c r="R54" i="7"/>
  <c r="L54" i="7"/>
  <c r="O50" i="7"/>
  <c r="Z163" i="1"/>
  <c r="N54" i="7"/>
  <c r="P48" i="7"/>
  <c r="M54" i="7"/>
  <c r="R47" i="22"/>
  <c r="P47" i="22"/>
  <c r="Q47" i="22"/>
  <c r="P53" i="7"/>
  <c r="M53" i="7"/>
  <c r="S53" i="7"/>
  <c r="S54" i="7"/>
  <c r="Q53" i="7"/>
  <c r="M52" i="7"/>
  <c r="S52" i="7"/>
  <c r="Q52" i="7"/>
  <c r="Q54" i="7"/>
  <c r="Y163" i="1"/>
  <c r="Y153" i="1"/>
  <c r="Y155" i="1"/>
  <c r="W163" i="1"/>
  <c r="P50" i="7"/>
  <c r="O54" i="7"/>
  <c r="P54" i="7"/>
</calcChain>
</file>

<file path=xl/comments1.xml><?xml version="1.0" encoding="utf-8"?>
<x:comments xmlns:x="http://schemas.openxmlformats.org/spreadsheetml/2006/main">
  <x:authors>
    <x:author>McInerney, Laura J</x:author>
  </x:authors>
  <x:commentList/>
</x:comments>
</file>

<file path=xl/comments2.xml><?xml version="1.0" encoding="utf-8"?>
<x:comments xmlns:x="http://schemas.openxmlformats.org/spreadsheetml/2006/main">
  <x:authors>
    <x:author>Simon Thomson</x:author>
  </x:authors>
  <x:commentList/>
</x:comments>
</file>

<file path=xl/comments3.xml><?xml version="1.0" encoding="utf-8"?>
<x:comments xmlns:x="http://schemas.openxmlformats.org/spreadsheetml/2006/main">
  <x:authors>
    <x:author>Simon Thomson</x:author>
  </x:authors>
  <x:commentList/>
</x:comments>
</file>

<file path=xl/comments4.xml><?xml version="1.0" encoding="utf-8"?>
<x:comments xmlns:x="http://schemas.openxmlformats.org/spreadsheetml/2006/main">
  <x:authors>
    <x:author>Simon Thomson</x:author>
  </x:authors>
  <x:commentList/>
</x:comments>
</file>

<file path=xl/comments5.xml><?xml version="1.0" encoding="utf-8"?>
<x:comments xmlns:x="http://schemas.openxmlformats.org/spreadsheetml/2006/main">
  <x:authors>
    <x:author>Simon Thomson</x:author>
    <x:author>McInerney, Laura J</x:author>
  </x:authors>
  <x:commentList/>
</x:comments>
</file>

<file path=xl/comments6.xml><?xml version="1.0" encoding="utf-8"?>
<x:comments xmlns:x="http://schemas.openxmlformats.org/spreadsheetml/2006/main">
  <x:authors>
    <x:author>Sandra Graham</x:author>
  </x:authors>
  <x:commentList/>
</x:comments>
</file>

<file path=xl/sharedStrings.xml><?xml version="1.0" encoding="utf-8"?>
<sst xmlns="http://schemas.openxmlformats.org/spreadsheetml/2006/main" count="5475" uniqueCount="1668">
  <si>
    <t>DFID (FTEs)</t>
  </si>
  <si>
    <t>INPUTS (HR)</t>
  </si>
  <si>
    <t>Total (£)</t>
  </si>
  <si>
    <t>Other (£)</t>
  </si>
  <si>
    <t>Govt (£)</t>
  </si>
  <si>
    <t>INPUTS (£)</t>
  </si>
  <si>
    <t>IMPACT WEIGHTING (%)</t>
  </si>
  <si>
    <t>Source</t>
  </si>
  <si>
    <t>C</t>
  </si>
  <si>
    <t>B</t>
  </si>
  <si>
    <t>Achieved</t>
  </si>
  <si>
    <t>A</t>
  </si>
  <si>
    <t>Planned</t>
  </si>
  <si>
    <t>LG</t>
  </si>
  <si>
    <t>KW</t>
  </si>
  <si>
    <t>KN</t>
  </si>
  <si>
    <t>KD</t>
  </si>
  <si>
    <t>JG</t>
  </si>
  <si>
    <t>EN</t>
  </si>
  <si>
    <t>Output Indicator 4.3</t>
  </si>
  <si>
    <t>Output Indicator 4.1</t>
  </si>
  <si>
    <t>OUTPUT 4</t>
  </si>
  <si>
    <t>Output Indicator 3.4</t>
  </si>
  <si>
    <t>Output Indicator 3.3</t>
  </si>
  <si>
    <t>Output Indicator 3.2</t>
  </si>
  <si>
    <t>JSS</t>
  </si>
  <si>
    <t>Primary</t>
  </si>
  <si>
    <t>Output Indicator 3.1</t>
  </si>
  <si>
    <t>OUTPUT 3</t>
  </si>
  <si>
    <t>Annual State Self Assessment Reports</t>
  </si>
  <si>
    <t>Level and quality of State/LGEA engagement with local communities on school improvement</t>
  </si>
  <si>
    <t>Output Indicator 2.4</t>
  </si>
  <si>
    <t>Output Indicator 2.3</t>
  </si>
  <si>
    <t>Output Indicator 2.2</t>
  </si>
  <si>
    <t>Output Indicator 2.1</t>
  </si>
  <si>
    <t>OUTPUT 2</t>
  </si>
  <si>
    <t xml:space="preserve">a. MLA                             </t>
  </si>
  <si>
    <t>Output Indicator 1.2</t>
  </si>
  <si>
    <t>Universal Basic Education Commission (UBEC) quarterly disbursement records</t>
  </si>
  <si>
    <t>Output Indicator 1.1</t>
  </si>
  <si>
    <t>OUTPUT 1</t>
  </si>
  <si>
    <t>OUTCOME</t>
  </si>
  <si>
    <t>Annual School Census Reports (by June each year)</t>
  </si>
  <si>
    <t>Source (frequency)</t>
  </si>
  <si>
    <t xml:space="preserve">a. Primary completion rate:                                                                                                          </t>
  </si>
  <si>
    <t>Impact Indicator 3</t>
  </si>
  <si>
    <t>Impact Indicator 2</t>
  </si>
  <si>
    <t>F</t>
  </si>
  <si>
    <t>M</t>
  </si>
  <si>
    <t>All</t>
  </si>
  <si>
    <t>Grade 2 Public</t>
  </si>
  <si>
    <t>Grade 4 Public</t>
  </si>
  <si>
    <t>IMPACT</t>
  </si>
  <si>
    <t>EDUCATION SECTOR SUPPORT PROGRAMME IN NIGERIA (ESSPIN) - PROGRAMME LOGFRAME FOR EXTENSION July 2014 to January 2017</t>
  </si>
  <si>
    <t xml:space="preserve">Better learning outcomes for children of basic education school age in the programme's six states
</t>
  </si>
  <si>
    <t>Quality of, and access to, basic education improved equitably and sustainably</t>
  </si>
  <si>
    <t xml:space="preserve">Strengthened Federal Government systems supporting States' implementation of school improvement </t>
  </si>
  <si>
    <t>Quality of national systems established for:</t>
  </si>
  <si>
    <t>c. SBMC implementation</t>
  </si>
  <si>
    <t>Increased capability of State and Local Governments for governance and management of basic education at State and LGEA levels</t>
  </si>
  <si>
    <t>Quality of service delivery systems and processes at State and LGEA level</t>
  </si>
  <si>
    <t>Quality of school support and quality assurance services at State and LGEA level</t>
  </si>
  <si>
    <t xml:space="preserve">Strengthened capability of primary schools to provide improved learning outcomes </t>
  </si>
  <si>
    <t xml:space="preserve">Programme States                                         </t>
  </si>
  <si>
    <t xml:space="preserve">Non-programme States                                 </t>
  </si>
  <si>
    <t xml:space="preserve">b. QA                           </t>
  </si>
  <si>
    <t xml:space="preserve">c. SBMC                           </t>
  </si>
  <si>
    <t>Annual Self Assessment Reports</t>
  </si>
  <si>
    <t>Total</t>
  </si>
  <si>
    <t>Male</t>
  </si>
  <si>
    <t>Female</t>
  </si>
  <si>
    <t xml:space="preserve">Primary          </t>
  </si>
  <si>
    <t>Total:</t>
  </si>
  <si>
    <t>Effective:</t>
  </si>
  <si>
    <t>Advanced effective:</t>
  </si>
  <si>
    <t xml:space="preserve">Public Primary:         </t>
  </si>
  <si>
    <t xml:space="preserve">  Total:</t>
  </si>
  <si>
    <t xml:space="preserve">  Effective:</t>
  </si>
  <si>
    <t xml:space="preserve">  Advanced effective:</t>
  </si>
  <si>
    <t xml:space="preserve">  Total</t>
  </si>
  <si>
    <t xml:space="preserve">  Effective</t>
  </si>
  <si>
    <t xml:space="preserve">  Advanced effective</t>
  </si>
  <si>
    <t xml:space="preserve">Public Primary:       </t>
  </si>
  <si>
    <t>a. IQTE education</t>
  </si>
  <si>
    <t>c. Girl education initiatives</t>
  </si>
  <si>
    <t>Output Indicator 4.4</t>
  </si>
  <si>
    <t>Quality of CSO and community demand for quality and inclusive education</t>
  </si>
  <si>
    <t xml:space="preserve">Literacy   </t>
  </si>
  <si>
    <t>Numeracy</t>
  </si>
  <si>
    <t>Actual (March 2013)</t>
  </si>
  <si>
    <t xml:space="preserve">Primary:  </t>
  </si>
  <si>
    <t xml:space="preserve">Primary                                              </t>
  </si>
  <si>
    <t xml:space="preserve">Primary : </t>
  </si>
  <si>
    <t>2.94m</t>
  </si>
  <si>
    <t>1.56m</t>
  </si>
  <si>
    <t xml:space="preserve">                               </t>
  </si>
  <si>
    <t xml:space="preserve">Quality standard    (QS)      </t>
  </si>
  <si>
    <t>Advanced quality standard (AQS)</t>
  </si>
  <si>
    <t>Primary:</t>
  </si>
  <si>
    <t xml:space="preserve">QS      </t>
  </si>
  <si>
    <t>AQS</t>
  </si>
  <si>
    <t xml:space="preserve">Level of financial resources available for school improvement measured by the annual percentage change (in real terms) in the release/utilisation of State funding </t>
  </si>
  <si>
    <t xml:space="preserve">Planned                         </t>
  </si>
  <si>
    <t xml:space="preserve">Total: </t>
  </si>
  <si>
    <t xml:space="preserve">Male: </t>
  </si>
  <si>
    <t xml:space="preserve">Female: </t>
  </si>
  <si>
    <t xml:space="preserve">Programme States                        </t>
  </si>
  <si>
    <t xml:space="preserve">Non-programme States   </t>
  </si>
  <si>
    <t xml:space="preserve">a. MLA                   </t>
  </si>
  <si>
    <t xml:space="preserve">b. QA                  </t>
  </si>
  <si>
    <t xml:space="preserve">c. SBMC               </t>
  </si>
  <si>
    <t xml:space="preserve">  Total:  </t>
  </si>
  <si>
    <t xml:space="preserve">  Effective: </t>
  </si>
  <si>
    <t xml:space="preserve">  Advanced effective: </t>
  </si>
  <si>
    <t xml:space="preserve">  Total: </t>
  </si>
  <si>
    <t xml:space="preserve">Advanced effective: </t>
  </si>
  <si>
    <t xml:space="preserve">a. IQTE education: </t>
  </si>
  <si>
    <t xml:space="preserve">b. Nomadic community education: </t>
  </si>
  <si>
    <t>c. Girl education initiatives:</t>
  </si>
  <si>
    <t xml:space="preserve">Total : </t>
  </si>
  <si>
    <t xml:space="preserve">Effective: </t>
  </si>
  <si>
    <t xml:space="preserve">Programme States              </t>
  </si>
  <si>
    <t>a. Monitoring learning achievement (MLA)</t>
  </si>
  <si>
    <t>b. Quality assurance (QA)</t>
  </si>
  <si>
    <t xml:space="preserve">AQS: </t>
  </si>
  <si>
    <t xml:space="preserve">AQS </t>
  </si>
  <si>
    <t xml:space="preserve">QS     </t>
  </si>
  <si>
    <t>1.38m</t>
  </si>
  <si>
    <t xml:space="preserve">Number (and percentage) of public primary schools that meet the benchmarks for a good quality school </t>
  </si>
  <si>
    <t>Composite Survey Reports in 2012, 2014 and 2016</t>
  </si>
  <si>
    <t>Actual (June 2013)</t>
  </si>
  <si>
    <t>State Ministries of Education Quarterly Monitoring Reports (unpublished - every quarter)</t>
  </si>
  <si>
    <t>D</t>
  </si>
  <si>
    <t>Quality of strategic and operational planning and budgeting, budget execution, performance monitoring and reporting at State and LGEA level (LGEA targets in brackets)</t>
  </si>
  <si>
    <t>A [C]</t>
  </si>
  <si>
    <t>4,563 (30%)</t>
  </si>
  <si>
    <t xml:space="preserve">Number (and percentage) of  head teachers in public primary schools operating effectively </t>
  </si>
  <si>
    <t>5,646 (38%)</t>
  </si>
  <si>
    <t>2,273 (15%)</t>
  </si>
  <si>
    <t>2,896 (19%)</t>
  </si>
  <si>
    <t xml:space="preserve">Number (and percentage) of teachers in public primary schools who can deliver competent lessons in literacy and numeracy </t>
  </si>
  <si>
    <t>3,730 (25%)</t>
  </si>
  <si>
    <t>Number of public primary schools with functioning SBMCs</t>
  </si>
  <si>
    <t>ESSPIN and SUBEB Project Reports (Annual)</t>
  </si>
  <si>
    <t>DFID  (£)  35 million</t>
  </si>
  <si>
    <t>Govt (£) 33.5 million</t>
  </si>
  <si>
    <t>Total (£) 68.5 million</t>
  </si>
  <si>
    <t>DFID SHARE (%) 51%</t>
  </si>
  <si>
    <t>Total (£) 5.3 million</t>
  </si>
  <si>
    <t>DFID SHARE (%) 100%</t>
  </si>
  <si>
    <t>Total (£) 3.8 million</t>
  </si>
  <si>
    <t xml:space="preserve">Govt (£) </t>
  </si>
  <si>
    <t>Total (£) 52.2 million</t>
  </si>
  <si>
    <t>DFID SHARE (%) 36%</t>
  </si>
  <si>
    <t>Govt (£) 0</t>
  </si>
  <si>
    <t>Total (£) 7.2 million</t>
  </si>
  <si>
    <t>DFID SHARE (%) 100</t>
  </si>
  <si>
    <t>Risk Rating  Medium</t>
  </si>
  <si>
    <t xml:space="preserve">b.  Number of children supported per annum completing primary school, disaggregated by gender </t>
  </si>
  <si>
    <t xml:space="preserve">b. No. of children supported:                                </t>
  </si>
  <si>
    <t xml:space="preserve">b. No. of children supported: </t>
  </si>
  <si>
    <t>Actual (March 2012)</t>
  </si>
  <si>
    <t>Target (Aug 2016)</t>
  </si>
  <si>
    <t>Target (Aug 2015)</t>
  </si>
  <si>
    <t>Output Indicator 2.5</t>
  </si>
  <si>
    <t>Quality of inclusive policies at State and LGEA levels</t>
  </si>
  <si>
    <t>B [D]</t>
  </si>
  <si>
    <t>A [D]</t>
  </si>
  <si>
    <t>B[D]</t>
  </si>
  <si>
    <t>A[D]</t>
  </si>
  <si>
    <t>A[C]</t>
  </si>
  <si>
    <t>SUPER-IMPACT</t>
  </si>
  <si>
    <t>Super Impact Indicator 1a</t>
  </si>
  <si>
    <t xml:space="preserve">Planned </t>
  </si>
  <si>
    <t xml:space="preserve">a. NAR:   </t>
  </si>
  <si>
    <t>Impact Indicator 1</t>
  </si>
  <si>
    <t>State level targets</t>
  </si>
  <si>
    <t xml:space="preserve">Grade 4 </t>
  </si>
  <si>
    <t>Grade 2</t>
  </si>
  <si>
    <t>NAR</t>
  </si>
  <si>
    <t>report not available online</t>
  </si>
  <si>
    <t>QS</t>
  </si>
  <si>
    <t>Cumulative number of marginalised children with improved access to basic education through IQTE, and nomadic community schools disaggregated by gender</t>
  </si>
  <si>
    <t>Outcome Indicator 2b</t>
  </si>
  <si>
    <t>Outcome Indicator 2a</t>
  </si>
  <si>
    <t>Number (and percentage) of public primary schools using school development planning</t>
  </si>
  <si>
    <t>Output indicator 4.2</t>
  </si>
  <si>
    <t>Number of SBMCs supporting inclusive education</t>
  </si>
  <si>
    <t>Effective</t>
  </si>
  <si>
    <t>Advanced</t>
  </si>
  <si>
    <t>549 (45%)</t>
  </si>
  <si>
    <t>610 (30%)</t>
  </si>
  <si>
    <t>588 (27%)</t>
  </si>
  <si>
    <t>1648 (30%)</t>
  </si>
  <si>
    <t>614 (15%)</t>
  </si>
  <si>
    <t>553 (55%)</t>
  </si>
  <si>
    <t>683 (56%)</t>
  </si>
  <si>
    <t>560 (28%)</t>
  </si>
  <si>
    <t>653 (30%)</t>
  </si>
  <si>
    <t>1483 (27%)</t>
  </si>
  <si>
    <t>658 (66%)</t>
  </si>
  <si>
    <t>814 (40%)</t>
  </si>
  <si>
    <t>906 (90%)</t>
  </si>
  <si>
    <t>1039 (85%)</t>
  </si>
  <si>
    <t>1023 (47%)</t>
  </si>
  <si>
    <t>1859 (34%)</t>
  </si>
  <si>
    <t>790 (45%)</t>
  </si>
  <si>
    <t>955 (95%)</t>
  </si>
  <si>
    <t>1100 (90%)</t>
  </si>
  <si>
    <t>713 (35%)</t>
  </si>
  <si>
    <t>980 (45%)</t>
  </si>
  <si>
    <t>2188 (40%)</t>
  </si>
  <si>
    <t>Date</t>
  </si>
  <si>
    <t>Change made</t>
  </si>
  <si>
    <t>Rationale</t>
  </si>
  <si>
    <t>Indicator No.</t>
  </si>
  <si>
    <t xml:space="preserve"> </t>
  </si>
  <si>
    <t>Targets and Actual (July 2012)</t>
  </si>
  <si>
    <t>Target and Actual (July 2012)</t>
  </si>
  <si>
    <t>Targets for 2012 inserted</t>
  </si>
  <si>
    <t>Programme</t>
  </si>
  <si>
    <t>State</t>
  </si>
  <si>
    <t>Filter</t>
  </si>
  <si>
    <t>Whole logframe</t>
  </si>
  <si>
    <t xml:space="preserve"> Introduced filter for Programme and State</t>
  </si>
  <si>
    <t>The filter avoids the need for a separate worksheet. To see a highlevel logframe, programme level data can be selected.</t>
  </si>
  <si>
    <t>Reports of School Support Officers</t>
  </si>
  <si>
    <t>Removal of reference to Composite Survey in source</t>
  </si>
  <si>
    <t>SMO Reports</t>
  </si>
  <si>
    <t>Provides useful historical information</t>
  </si>
  <si>
    <t>Although validations will take place, we do not think that the numbers should be reported within the logframe. (The logframe is already pretty complex and can't do everything on results) We will prepare a separate report with validation results from the composite surveys.</t>
  </si>
  <si>
    <t>Impact 1.1</t>
  </si>
  <si>
    <t>Literacy (all)</t>
  </si>
  <si>
    <t>Literacy (male)</t>
  </si>
  <si>
    <t>Literacy (female)</t>
  </si>
  <si>
    <t>Numeracy (male)</t>
  </si>
  <si>
    <t>Numeracy (female)</t>
  </si>
  <si>
    <t xml:space="preserve">Literacy (female) </t>
  </si>
  <si>
    <t>Numeracy (all)</t>
  </si>
  <si>
    <t>0 (0%)</t>
  </si>
  <si>
    <t>1623 (1.9%)</t>
  </si>
  <si>
    <t>Literacy (All)</t>
  </si>
  <si>
    <t>Numeracy (All)</t>
  </si>
  <si>
    <t>Literacy (Male)</t>
  </si>
  <si>
    <t>Literacy (Female)</t>
  </si>
  <si>
    <t>Numeracy (Male)</t>
  </si>
  <si>
    <t>Added to logframe</t>
  </si>
  <si>
    <t xml:space="preserve">DFID Central request to monitor broader socio-economic impact </t>
  </si>
  <si>
    <t>Super Impact 1a</t>
  </si>
  <si>
    <t>Super Impact 1b</t>
  </si>
  <si>
    <t>Achieved (2014)</t>
  </si>
  <si>
    <t>Impact 1</t>
  </si>
  <si>
    <t>Programme level targets 2016 revised</t>
  </si>
  <si>
    <t>State level Targets 2016 revised</t>
  </si>
  <si>
    <t>Programme Targets 2012 removed</t>
  </si>
  <si>
    <t xml:space="preserve">Programme and State Milestones achieved 2014 inserted </t>
  </si>
  <si>
    <t>Programme Targets 2014 and 2016 developed</t>
  </si>
  <si>
    <t xml:space="preserve">During extension business case development, targets were calculated, and based on Composite Survey 1 findings,  </t>
  </si>
  <si>
    <t>State Level Targets 2014 and 2016 developed</t>
  </si>
  <si>
    <t>The 2012 Targets reflected MLA method and findings; these do not correlate with values for 2014 and 2016 targets, therefore the 2012 targets were removed in 2014</t>
  </si>
  <si>
    <t>Milestones achieved in 2014 were inserted, based on Composite Survey 2 findings.</t>
  </si>
  <si>
    <t>Net Enrolment Rate replaced with Net Attendance Rate</t>
  </si>
  <si>
    <t xml:space="preserve">NER denominator is based on population data last collected in 2006 and now viewed to be significantly unreliable. NAR data available in ASC 2014. </t>
  </si>
  <si>
    <t>NAR rates achieved in 2010 inserted</t>
  </si>
  <si>
    <t xml:space="preserve">Targets set based on 1% increase in NAR per annum (from 2010) </t>
  </si>
  <si>
    <t>State level NAR targets set for 2015</t>
  </si>
  <si>
    <t>Targets set based on 1% increase in NAR per annum (from 2010). Targets for 2016 will be recalibrated after ASC actuals are available in 2015.</t>
  </si>
  <si>
    <t>Impact 2a</t>
  </si>
  <si>
    <t>Impact 2b</t>
  </si>
  <si>
    <t>Target for 2016 revised to reflect the commitments by State Governments to SIP roll out made in 2014</t>
  </si>
  <si>
    <t>State level targets inserted for 2016</t>
  </si>
  <si>
    <t>Milestones achieved 2014 inserted</t>
  </si>
  <si>
    <t>Milestones achieved in 2014, reported in ESSPIN Annual report, inserted.</t>
  </si>
  <si>
    <t>4,67m</t>
  </si>
  <si>
    <t>2.41 m</t>
  </si>
  <si>
    <t>2.27 m</t>
  </si>
  <si>
    <t>Impact 3a&amp;b</t>
  </si>
  <si>
    <t>NEDS 2010 reported NAR at Programme and state levels. NAR 2010 inserted into logframe.</t>
  </si>
  <si>
    <t>Programme level NAR targets set for 2014, 2015, 2016</t>
  </si>
  <si>
    <t>Programme level target revised for 2016</t>
  </si>
  <si>
    <t>Programme level targets set for Completion rates for 2014, 15, 16</t>
  </si>
  <si>
    <t>1438 (9%)</t>
  </si>
  <si>
    <t>320 (2%)</t>
  </si>
  <si>
    <t>316 (26%)</t>
  </si>
  <si>
    <t>50 (3%)</t>
  </si>
  <si>
    <t>15 (0.4%)</t>
  </si>
  <si>
    <t>236 (4%)</t>
  </si>
  <si>
    <t>367 (25%)</t>
  </si>
  <si>
    <t>308 (31%)</t>
  </si>
  <si>
    <t>Quality Schools targets set at programme level</t>
  </si>
  <si>
    <t>Milestones achieved in 2014 inserted</t>
  </si>
  <si>
    <t>613 (50%)</t>
  </si>
  <si>
    <t>62 (5%)</t>
  </si>
  <si>
    <t>1021 (51%)</t>
  </si>
  <si>
    <t>104 (5%)</t>
  </si>
  <si>
    <t>1092 (26%)</t>
  </si>
  <si>
    <t>111 (3%)</t>
  </si>
  <si>
    <t>280 (5%)</t>
  </si>
  <si>
    <t>2754 (48%)</t>
  </si>
  <si>
    <t>880 (59%)</t>
  </si>
  <si>
    <t>89 (6%)</t>
  </si>
  <si>
    <t>504 (50%)</t>
  </si>
  <si>
    <t>51 (5%)</t>
  </si>
  <si>
    <t>Quality Schools targets for 2016 set at state level</t>
  </si>
  <si>
    <t>Outcome 1b,c,d</t>
  </si>
  <si>
    <t>Outcome 1a</t>
  </si>
  <si>
    <t>Outcome Indicator 1a</t>
  </si>
  <si>
    <t xml:space="preserve">New Indicator developed </t>
  </si>
  <si>
    <t>During the development of the business case for the extension, targets for 2014 and 2016 were set at programme level. A new category of school, ''Advanced Quality School (AQS) was also added; distinguishing schools that meet quality standard into QS and AQS.</t>
  </si>
  <si>
    <t>Not set for 2014. Indicator agreed 2015</t>
  </si>
  <si>
    <t xml:space="preserve">Outcome 2a </t>
  </si>
  <si>
    <t>Milestones data inserted. Data source; ESSPIN Annual report 2014</t>
  </si>
  <si>
    <t>Recommendation by Annual Review 2014 for greater focus on monitoring equity and inclusion of previously excluded groups. Added disability to outcome indicator.</t>
  </si>
  <si>
    <t>Targets set at programme and state level, for 2015 and 2016. See Workbook Outcome Indicators for calculations. Targets not set for 2014 as indicator agreed in 2015.</t>
  </si>
  <si>
    <t>5906 (baseline in 2013/14)</t>
  </si>
  <si>
    <t xml:space="preserve">Actual (June 2013) </t>
  </si>
  <si>
    <t>Indicator expanded to include disaggregation by disability</t>
  </si>
  <si>
    <t>Baseline data on disability established.</t>
  </si>
  <si>
    <t>ASC Reports from 2009/10 to 2013/12 used to analyse disability. Found fluctuations, and net loss. Agreed in April 2015 to baseline the new indicator using 2013/14 data. Baseline population set at programme and state levels</t>
  </si>
  <si>
    <t>Outcome 2b</t>
  </si>
  <si>
    <t xml:space="preserve">Actuals for 2014 inserted. </t>
  </si>
  <si>
    <t>Outcome 3</t>
  </si>
  <si>
    <t>New targets set at programme level</t>
  </si>
  <si>
    <t>2014 Actuals inserted</t>
  </si>
  <si>
    <t>2014 Actuals (for fiscal year 2013) inserted into logframe</t>
  </si>
  <si>
    <t>2014 Actuals at programme and state level inserted</t>
  </si>
  <si>
    <t>During extension business case development, targets were calculated. These have not been revised.</t>
  </si>
  <si>
    <t>Target and Actual (Aug 2014)</t>
  </si>
  <si>
    <t>Actual 2014</t>
  </si>
  <si>
    <t>Targets set at programme and state level for 2015 and 2016, for additional children with disabilities</t>
  </si>
  <si>
    <t>Targets set at programme level for additional children disaggregated by gender</t>
  </si>
  <si>
    <t>Targets set for 2014-2016, for additional children, based on gender, and state plans for roll out</t>
  </si>
  <si>
    <t>Milestones achieved in 2014 inserted into logframe for additional children by gender, at programme and state level</t>
  </si>
  <si>
    <t>2014 Actuals at programme level inserted</t>
  </si>
  <si>
    <t xml:space="preserve">2014 Actuals (for fiscal year 2013) inserted </t>
  </si>
  <si>
    <t>Output 1.1</t>
  </si>
  <si>
    <t>Output 1.2</t>
  </si>
  <si>
    <t>Output 2.1-2.5</t>
  </si>
  <si>
    <t>2012 Targets inserted</t>
  </si>
  <si>
    <t xml:space="preserve">Primary: </t>
  </si>
  <si>
    <t>Target 2012 and Actual (June 2013)</t>
  </si>
  <si>
    <t>Output 3.1-3.4</t>
  </si>
  <si>
    <t>During development of programme business case, targets set for 2014, 2015, and 2016 at state level. New categories of ''Advanced effectiveness'' introduced into monitoring of schools</t>
  </si>
  <si>
    <t>289 (24%)</t>
  </si>
  <si>
    <t>701 (34%)</t>
  </si>
  <si>
    <t>508 (23%)</t>
  </si>
  <si>
    <t>522 (10%)</t>
  </si>
  <si>
    <t>1008 (57%)</t>
  </si>
  <si>
    <t>701 (70%)</t>
  </si>
  <si>
    <t>749 (34%)</t>
  </si>
  <si>
    <t>2132 (39%)</t>
  </si>
  <si>
    <t>1014 (58%)</t>
  </si>
  <si>
    <t>703 (70%)</t>
  </si>
  <si>
    <t>1599 (29%)</t>
  </si>
  <si>
    <t>Programme level Targets for 2012 inserted</t>
  </si>
  <si>
    <t xml:space="preserve">Programme level Targets for 2014, 2015, and 2016 targets set </t>
  </si>
  <si>
    <t>State level targets for 2015 and 2016 re-set</t>
  </si>
  <si>
    <t>_</t>
  </si>
  <si>
    <t>State level targets for 2015 and 2016 revised, based on actual roll out plans of states, and 2014 actuals achieved. See WorkBook Output 3 Indicators.</t>
  </si>
  <si>
    <t>Improved Community Participation in School Improvement</t>
  </si>
  <si>
    <t>Output 4.1</t>
  </si>
  <si>
    <t>Moved to Output 3</t>
  </si>
  <si>
    <t>Moved back to Output 4</t>
  </si>
  <si>
    <t>Annual Review team recommended moving the indicator to monitor functioning SBMC to Output 3 (it became 3.4)</t>
  </si>
  <si>
    <t>State level targets set for 2015 and 2016</t>
  </si>
  <si>
    <t>Annual Review team (2014) recommended moving the indicator to monitor functioning SBMC back to Output 4</t>
  </si>
  <si>
    <t>Programme level targets reset for 2015 and 2016</t>
  </si>
  <si>
    <t>Programme level targets set</t>
  </si>
  <si>
    <t>Programme level targets revised for 2015 and 2016 to reflect higher rates of delivery achieved in 2013-4</t>
  </si>
  <si>
    <t>Milestone targets achieved in 2014 inserted into logframe</t>
  </si>
  <si>
    <t>Output 4.2</t>
  </si>
  <si>
    <t>During business case development, programme level targets for 2014, 2015, 2016 set. State level targets were not set.</t>
  </si>
  <si>
    <t>State level targets set for 2015 and 2016, based on confirmed roll out by States, and actual progress to date (which exceeded targets set the year earlier). State level targets were not set for 2014, as actuals were already available.</t>
  </si>
  <si>
    <t>Annual Review team recommended moving the indicator to monitor SBMC activity on womens and childrens concerns to Output 3 (it became 3.5)</t>
  </si>
  <si>
    <t>Output 4.3</t>
  </si>
  <si>
    <t>Wording of indicator changed</t>
  </si>
  <si>
    <t>During development of programme business case, wording of indicator changed to place greater focus on demand from communities, and CSO - the outputs of community action, (rather than on the quality of CSO mobilisation - inputs to community engagement).</t>
  </si>
  <si>
    <t>Re-numbered to become 4.3</t>
  </si>
  <si>
    <t>Output renumbered, as indicators changed. Previously 4.5, previously 4.2.</t>
  </si>
  <si>
    <t>During business case development, programme level targets for 2014, 2015, 2016 set. These were intended to apply uniformly across all states.</t>
  </si>
  <si>
    <t>Output 4.4</t>
  </si>
  <si>
    <t xml:space="preserve">Number of SBMCs in public primary schools that take measurable actions based on issues raised by women and children </t>
  </si>
  <si>
    <t>Annual Review team (2014) recommended removing the specific indicator to monitor SBMC and women and childrens, as a functioning SBMC must have sub-committees for women and children. However, the experience from the field is that women's and children's concerns are often marginalised and that there remains a need to proactively monitor the extent to which the concerns raised by marginalised groups lead to demonstrable action by SBMC. The indicator therefore remained as a separate indicator, but with a greater focus on action to address marginalisation.</t>
  </si>
  <si>
    <t>Output 4.1 (3.4); 4.2 (3.5); 4.4</t>
  </si>
  <si>
    <t>Output 4.1, 4.2, 4.4</t>
  </si>
  <si>
    <t>Output 4.1, 4.2, 4.3, 4.4</t>
  </si>
  <si>
    <t>Output 3.4</t>
  </si>
  <si>
    <t>Infrastructure indicator removed</t>
  </si>
  <si>
    <t>During the development of the logframe for the extension period, the indicator to measure improved infrastructure in schools was removed. The extension programme would focus less on infrastructure.</t>
  </si>
  <si>
    <t>Output 3.4, 3.5</t>
  </si>
  <si>
    <t>Indicators monitoring SBMC effectiveness moved to Output 3</t>
  </si>
  <si>
    <t>Following the recommendations of the Annual Review (2014) the indicators measuring SBMC effectiveness (3.4 and 3.5) were moved back to Output 4. Indicators addressing inclusion were restructured across the outputs, to support mainstreaming of inclusion as a cross-cutting issues.</t>
  </si>
  <si>
    <t>Indicators on SBMC effectiveness moved to Output 4</t>
  </si>
  <si>
    <t>Indicator on inclusive schools moved into Output 3</t>
  </si>
  <si>
    <t>Following the recommendations of the Annual Review (2014), the indicator measuring inclusion in schools (previously 4.3) was moved into Output 3, to support inclusion as a cross cutting issue.</t>
  </si>
  <si>
    <t>Output 2.5</t>
  </si>
  <si>
    <t>Indicator 2.5 monitors the quality of state and LGEA policies on inclusion.This indicator was previously addressed in Output 4 (Indicator 4.2, Logframe 2014; Indicator 4.3, Logframe 2012). The Annual Review team recommended restructuring indicators on inclusion so that they are cross-cutting across workstreams. This ensures inclusion is mainstreamed in all areas.</t>
  </si>
  <si>
    <t>Indicator added to Output 5, to monitor policies on inclusion</t>
  </si>
  <si>
    <t>Milestones achieved inserted. The SSO reports had not yet been upgraded to reflect ''Effective'' and ''Advanced effective'', and so this could not be reported on in 2014.</t>
  </si>
  <si>
    <t>931 (8%)</t>
  </si>
  <si>
    <t>2243 (17%)</t>
  </si>
  <si>
    <t>2363 (7%)</t>
  </si>
  <si>
    <t>8151 (16%)</t>
  </si>
  <si>
    <t>4054 (28%)</t>
  </si>
  <si>
    <t>2178 (18%)</t>
  </si>
  <si>
    <t>37819 (27%)</t>
  </si>
  <si>
    <t>1785 (15%)</t>
  </si>
  <si>
    <t>5308 (39%)</t>
  </si>
  <si>
    <t>3195 (9%)</t>
  </si>
  <si>
    <t>12560 (25%)</t>
  </si>
  <si>
    <t>7313 (51%)</t>
  </si>
  <si>
    <t>7658 (78%)</t>
  </si>
  <si>
    <t>814 (6%)</t>
  </si>
  <si>
    <t>1164 (8%)</t>
  </si>
  <si>
    <t>Targets not set at State level</t>
  </si>
  <si>
    <t>Achieved (2012)</t>
  </si>
  <si>
    <t>Target and Actual (June 2010)</t>
  </si>
  <si>
    <t>New indicator.</t>
  </si>
  <si>
    <t xml:space="preserve"> Target not set.</t>
  </si>
  <si>
    <t>Targets not set at state level</t>
  </si>
  <si>
    <t>Quality standard (QS)</t>
  </si>
  <si>
    <t>Advanced Quality standard (AQS)</t>
  </si>
  <si>
    <t>Quality Standard</t>
  </si>
  <si>
    <t>New indicator</t>
  </si>
  <si>
    <t>Impact 4</t>
  </si>
  <si>
    <t>Gender Parity Index removed</t>
  </si>
  <si>
    <t>Indicator measuring gender parity in gross enrolment removed from logframe</t>
  </si>
  <si>
    <t>Indicator measuring public primary and JSS net attendance ratios for lowest economic quartiles removed</t>
  </si>
  <si>
    <t>Indicator changed from budget utilisation rate to budget release to states</t>
  </si>
  <si>
    <t>New indicator measures the percentage change in the rate of release of state funding. This was due to problems with timing in the release of budgets which gave rise to low utilisation rates, but for reasons that were largely outside the state's control.</t>
  </si>
  <si>
    <t xml:space="preserve">Target not available on logframe </t>
  </si>
  <si>
    <t>Targets not set at state level in 2012</t>
  </si>
  <si>
    <t>Not set. New indicator</t>
  </si>
  <si>
    <t>Not set. New indicator.</t>
  </si>
  <si>
    <t xml:space="preserve">New indicator added to logframe </t>
  </si>
  <si>
    <t>New Indicator on cumulative number of children from marginalised groups with improved access added to logframe in 2014, to monitor support to non-formal education providers offering greater inclusion of hard-to-reach groups. Introduced to logframe at output level (output 4.1)</t>
  </si>
  <si>
    <t>Indicator moved to outcome level</t>
  </si>
  <si>
    <t xml:space="preserve">Indicator Output 4.1, monitoring increased access for marginalised groups, moved to outcome level of logframe. Reflects greater focus on monitoring impact of ESSPIN on equity and inclusion. </t>
  </si>
  <si>
    <t>Target and Actual (September 2013)</t>
  </si>
  <si>
    <t>Not set in logframe</t>
  </si>
  <si>
    <t>No target set for this indicator in 2012</t>
  </si>
  <si>
    <t>Stage 1</t>
  </si>
  <si>
    <t>Stage 2</t>
  </si>
  <si>
    <t>Target and Actual (March 2013)</t>
  </si>
  <si>
    <t>B [not set]</t>
  </si>
  <si>
    <t>Target (June 2013) and Actual (March 2013)</t>
  </si>
  <si>
    <t>Target June (2013) and Actual (March 2013)</t>
  </si>
  <si>
    <t>Target and Actual (June 2013)</t>
  </si>
  <si>
    <t>4145 (29%)</t>
  </si>
  <si>
    <t>Not set at state level</t>
  </si>
  <si>
    <t>Target 2013 and Actual (June 2013)</t>
  </si>
  <si>
    <t>4148 (29%)</t>
  </si>
  <si>
    <t>32269 (23%)</t>
  </si>
  <si>
    <t>Indicator restructured</t>
  </si>
  <si>
    <t>During the development of the revised logframe for the extension, the previous indicator on inclusive policies and practice was restructured into three separate indicators, so that policies and practices can be monitored separately. Indicator 4.4 was reworded to focus specifically on community practices to support inclusion. Indicator 4.4 also changed from qualitative measurement to quantitative measurement of number of schools</t>
  </si>
  <si>
    <t>Actual (2011)</t>
  </si>
  <si>
    <t>Proportion of population whose consumption per adult equivalent is less than the national poverty line</t>
  </si>
  <si>
    <t>Target and Actual (2010)</t>
  </si>
  <si>
    <t xml:space="preserve">National: </t>
  </si>
  <si>
    <t>HNLSS 2009/10; World Bank Poverty Reduction and Economic Management, Africa Region.</t>
  </si>
  <si>
    <t>122 (10%)</t>
  </si>
  <si>
    <t>305 (15%)</t>
  </si>
  <si>
    <t>218 (10%)</t>
  </si>
  <si>
    <t>824 (15%)</t>
  </si>
  <si>
    <t>263 (15%)</t>
  </si>
  <si>
    <t>101 (10%)</t>
  </si>
  <si>
    <t>427 (35%)</t>
  </si>
  <si>
    <t>370 (17%)</t>
  </si>
  <si>
    <t>351 (20%)</t>
  </si>
  <si>
    <t>452 (45%)</t>
  </si>
  <si>
    <t>12 (1%)</t>
  </si>
  <si>
    <t>51 (3%)</t>
  </si>
  <si>
    <t>108 (5%)</t>
  </si>
  <si>
    <t>110 (2%)</t>
  </si>
  <si>
    <t>10 (1%)</t>
  </si>
  <si>
    <t>671 (55%)</t>
  </si>
  <si>
    <t>509 (25%)</t>
  </si>
  <si>
    <t>545 (25%)</t>
  </si>
  <si>
    <t>1373 (25%)</t>
  </si>
  <si>
    <t>439 (25%)</t>
  </si>
  <si>
    <t>648 (65%)</t>
  </si>
  <si>
    <t>162 (13%)</t>
  </si>
  <si>
    <t>710 (35%)</t>
  </si>
  <si>
    <t>333 (15%)</t>
  </si>
  <si>
    <t>1300 (74%)</t>
  </si>
  <si>
    <t>666 (66%)</t>
  </si>
  <si>
    <t>245 (20%)</t>
  </si>
  <si>
    <t>549 (10%)</t>
  </si>
  <si>
    <t>704 (70%)</t>
  </si>
  <si>
    <t>446 (36%)</t>
  </si>
  <si>
    <t>752 (37%)</t>
  </si>
  <si>
    <t>521 (24%)</t>
  </si>
  <si>
    <t>1359 (77%)</t>
  </si>
  <si>
    <t>3376 (61%)</t>
  </si>
  <si>
    <t>875 (87%)</t>
  </si>
  <si>
    <t>612 (50%)</t>
  </si>
  <si>
    <t>1035 (19%)</t>
  </si>
  <si>
    <t>503 (50%)</t>
  </si>
  <si>
    <t>183 (15%)</t>
  </si>
  <si>
    <t>204 (10%)</t>
  </si>
  <si>
    <t>327 (15%)</t>
  </si>
  <si>
    <t>251 (25%)</t>
  </si>
  <si>
    <t>917 (75%)</t>
  </si>
  <si>
    <t>page 44 - overall report - 2012/2014</t>
  </si>
  <si>
    <t>Super Impact Indicator 1b</t>
  </si>
  <si>
    <t>6300 (40%)</t>
  </si>
  <si>
    <t>700 (4%)</t>
  </si>
  <si>
    <t>1833 (13%)</t>
  </si>
  <si>
    <t>2730 (20%)</t>
  </si>
  <si>
    <t>378 (3%)</t>
  </si>
  <si>
    <t>19992 (14%)</t>
  </si>
  <si>
    <t>5167 (38%)</t>
  </si>
  <si>
    <t>1639 (30%)</t>
  </si>
  <si>
    <t>425 (35%)</t>
  </si>
  <si>
    <t>821 (40%)</t>
  </si>
  <si>
    <t>298 (14%)</t>
  </si>
  <si>
    <t>1349 (77%)</t>
  </si>
  <si>
    <t>746 (74%)</t>
  </si>
  <si>
    <r>
      <t>State level targets were calculated during business case development although not included in the 2014 logframe. Gender disaggregated targets were not calculated at State level at that time.</t>
    </r>
    <r>
      <rPr>
        <sz val="10"/>
        <color rgb="FFFF0000"/>
        <rFont val="Arial"/>
        <family val="2"/>
      </rPr>
      <t xml:space="preserve"> </t>
    </r>
  </si>
  <si>
    <t>Targets for 2016 were set at state level, using a methodology based on assumed outreach and conversion rates. See Workbook 'Outcome Indicators'. 2014 Targets not set at State level (in 2015) due to actuals being available.</t>
  </si>
  <si>
    <t>Milestones achieved in 2014 were calculated based on Composite Survey 2 findings. See Workbook 'Outcome Indicators'. The CS 2 Report does not disaggregate QS and AQS proportions by state. These proportions have been requested. The current findings report QS and AQS within the category QS.</t>
  </si>
  <si>
    <t xml:space="preserve">A new indicator was added to monitor improvements in all childrens learning along a continuum (as opposed to national benchmark standards, considered at Impact level). The sub-indicators disaggregate lowest performing learners, and poorest learners to monitor ESSPIN's impact on equity and inclusion. These indicators will be refined following the IRT workshop held 8-9 June 2015. </t>
  </si>
  <si>
    <t>Outcome 1b</t>
  </si>
  <si>
    <t>Targets set for 2014, 2015, 2016</t>
  </si>
  <si>
    <t xml:space="preserve">During the development of the extension business case, targets for improved learning outcomes were estimated, based on the findings of CS1, and using a methodology based on grade quartiles.The targets for 2016 will be revised to align with the revised methodology for measuring learning progress based on IRT. </t>
  </si>
  <si>
    <t>Outcome 2 (old)</t>
  </si>
  <si>
    <t>Targets set at programme and state level for additional children disaggregated by disability</t>
  </si>
  <si>
    <t>Targets set at programme and at state level, as ASC reports indicate different patterns of inclusion in different states.</t>
  </si>
  <si>
    <t xml:space="preserve">Targets set at programme level for 2014, 2015, 2016, starting from indicator baseline value set in 2013. </t>
  </si>
  <si>
    <t xml:space="preserve">2012 Targets inserted. At that time, the same target was set for all states (and LGEAs). </t>
  </si>
  <si>
    <t>2012 Targets inserted. In 2012, Target for 3.4 had been qualitative target. Indicator has changed to quantitative, thus 2012 target no longer relevant. State level Targets were not set in 2012 logframe.</t>
  </si>
  <si>
    <t>SSO Reports (Self-Assessment reports for 3.4 prior to 2012)</t>
  </si>
  <si>
    <t>When targets for 2015 and 2016 were set, the denominator used to calculate the proportion of schools was ''schools worked with'' (see workbook on Output 3 targets), as planned for at that stage. This was slightly less than all schools in all six states. If state roll out is faster and more extensive than planned, it may contribute to over achievement of these targets. The indicator teacher targets (3.3) are calculated as the % of all teachers (as per ASC figures). As ASC figures for teachers may be higher than the actual number of teachers in schools, this may contribute to under-achievement of targets.</t>
  </si>
  <si>
    <t>Targets revised based on Composite Survey 2 findings. %ages are based on the population of children in P2 and P4 (as relevant) in each of the six states in 2013/14 (ASC data)</t>
  </si>
  <si>
    <t>Targets revised based on Composite Survey 2 findings. In calculating 2016 targets, the aim is to achieve equity - 50% of competent learners being girls. Given the current achievement rates of girls and boys, this will mean that targets are more ambitious for the gender that historically has not achieved as well. For example, it is more challenging for boys in Lagos, more challenging for girls at P4 levels etc. %ages are based on the population of children in P2 and P4 (as relevant) in each of the six states in 2013/14 (ASC data)</t>
  </si>
  <si>
    <t>Inserted revised actual results (%) for CS 1 (2012) .</t>
  </si>
  <si>
    <t>CS 2 provided new analysis of some CS1 findings. The actuals achieved in 2012 have been updated with the revised proportions based on the new analysis.</t>
  </si>
  <si>
    <t xml:space="preserve">Targets for Output 3 Indicators, 2014 - programme level </t>
  </si>
  <si>
    <t>O3.1  No. of public primary schools using a school development plan</t>
  </si>
  <si>
    <t>Advanced effective</t>
  </si>
  <si>
    <t>Conversion rate</t>
  </si>
  <si>
    <t>SIP denominator</t>
  </si>
  <si>
    <t>Phase 1</t>
  </si>
  <si>
    <t>Phase 2a (Mar 2013)</t>
  </si>
  <si>
    <t>Phase 2b projected (July 2014)</t>
  </si>
  <si>
    <t>Number of schools in SIP (by 2016)</t>
  </si>
  <si>
    <t xml:space="preserve">Target as % of schools worked with (this is used for consistency with programme targets fro output) </t>
  </si>
  <si>
    <t>Enugu</t>
  </si>
  <si>
    <t>Jigawa</t>
  </si>
  <si>
    <t>Kaduna</t>
  </si>
  <si>
    <t xml:space="preserve">Kano </t>
  </si>
  <si>
    <t>All schools went into TSP; no SDP measure</t>
  </si>
  <si>
    <t>Kwara</t>
  </si>
  <si>
    <t>Lagos</t>
  </si>
  <si>
    <t>O3.2  No. of head teachers operating effectively</t>
  </si>
  <si>
    <t>Phase 1 schools</t>
  </si>
  <si>
    <t>Phase 2 schools</t>
  </si>
  <si>
    <t>TSP: % effective lower than for other States</t>
  </si>
  <si>
    <t>O3.3  No. of teachers delivering competent lessons</t>
  </si>
  <si>
    <t>x 4 teachers</t>
  </si>
  <si>
    <t>x 3 teachers</t>
  </si>
  <si>
    <t>Total teachers</t>
  </si>
  <si>
    <t>All teachers in ASC</t>
  </si>
  <si>
    <t>O4.3  No. of inclusive schools</t>
  </si>
  <si>
    <t>Targets for Output 3 indicators, 2015 and 2016 - programme and state level</t>
  </si>
  <si>
    <t>3.1 Better planning</t>
  </si>
  <si>
    <t>Schools</t>
  </si>
  <si>
    <t>Schools worked with</t>
  </si>
  <si>
    <t>Teachers</t>
  </si>
  <si>
    <t>Teachers trained</t>
  </si>
  <si>
    <t>Already trained</t>
  </si>
  <si>
    <t>Total benefitting</t>
  </si>
  <si>
    <t>Overall</t>
  </si>
  <si>
    <t>Kano</t>
  </si>
  <si>
    <t>Set targets</t>
  </si>
  <si>
    <t>3.2 Effective HTs</t>
  </si>
  <si>
    <t>Dec 2014 State reports</t>
  </si>
  <si>
    <t>Effective planning</t>
  </si>
  <si>
    <t>Effective HTs</t>
  </si>
  <si>
    <t>Competent teachers</t>
  </si>
  <si>
    <t>Inclusive schools</t>
  </si>
  <si>
    <t>3.4 Inclusive schools</t>
  </si>
  <si>
    <t>% of schools worked with</t>
  </si>
  <si>
    <t>%of HTs</t>
  </si>
  <si>
    <t>% inclusive schools</t>
  </si>
  <si>
    <t>Outcome Indicator 1a: Targets for Quality Schools using Method 1</t>
  </si>
  <si>
    <t>85% reach</t>
  </si>
  <si>
    <t>65% of schools reached become effective</t>
  </si>
  <si>
    <t>6% of schools worked with achieve AQS</t>
  </si>
  <si>
    <t>QS as % of all schools</t>
  </si>
  <si>
    <t>AQS as % of all schools</t>
  </si>
  <si>
    <t>Schools that achieve QS and AQS in 2014</t>
  </si>
  <si>
    <t># schools</t>
  </si>
  <si>
    <t>3 standards</t>
  </si>
  <si>
    <t>4 standards</t>
  </si>
  <si>
    <t>ESSPIN</t>
  </si>
  <si>
    <t>3500 schools</t>
  </si>
  <si>
    <t>of all schools</t>
  </si>
  <si>
    <t>Non-ESSPIN</t>
  </si>
  <si>
    <t>of schools worked with</t>
  </si>
  <si>
    <t>TOTA</t>
  </si>
  <si>
    <t>Schools that meet the QS in 2014, by state</t>
  </si>
  <si>
    <t>Total number of schools from ASC</t>
  </si>
  <si>
    <t>numbers of schools taken from 2014 Annual report</t>
  </si>
  <si>
    <t xml:space="preserve">Assuming total of Phase 2 is cumulative - </t>
  </si>
  <si>
    <t>Rate that schools achieve QS in Composite Survey 2; using the new QS (CS2 version)</t>
  </si>
  <si>
    <t>Assuming Phase 2 schools already achieve ESSPIN schools rate</t>
  </si>
  <si>
    <t>Based on different Phase 1 and Phase 2 rates</t>
  </si>
  <si>
    <t>% of schools</t>
  </si>
  <si>
    <t xml:space="preserve">Schools added Phase 2 </t>
  </si>
  <si>
    <t>Phase 2</t>
  </si>
  <si>
    <t>Not yet SIP</t>
  </si>
  <si>
    <t>ESSPIN schools</t>
  </si>
  <si>
    <t>Non-ESSPIN schools</t>
  </si>
  <si>
    <t>Number QS</t>
  </si>
  <si>
    <t>Phase 1: 49.9%; Phase 2: 28.5%</t>
  </si>
  <si>
    <t>Outcome Indicator 2a - State and Programme level targets for additional children with disabilities</t>
  </si>
  <si>
    <t>2013/14 ESSPIN LGAs</t>
  </si>
  <si>
    <t>Blind Pry1  MALE</t>
  </si>
  <si>
    <t>Blind Pry1  FEMALE</t>
  </si>
  <si>
    <t>Blind Pry2  Male</t>
  </si>
  <si>
    <t>Blind Pry2  FEMALE</t>
  </si>
  <si>
    <t>Blind Pry3  Male</t>
  </si>
  <si>
    <t>Blind Pry3  FEMALE</t>
  </si>
  <si>
    <t>Blind Pry4  Male</t>
  </si>
  <si>
    <t>Blind Pry4  FEMALE</t>
  </si>
  <si>
    <t>Blind Pry5  Male</t>
  </si>
  <si>
    <t>Blind Pry5  FEMALE</t>
  </si>
  <si>
    <t>Blind Pry6  Male</t>
  </si>
  <si>
    <t>Blind Pry6  FEMALE</t>
  </si>
  <si>
    <t>Blind Male</t>
  </si>
  <si>
    <t>Blind Female</t>
  </si>
  <si>
    <t>Blind Total</t>
  </si>
  <si>
    <t>Hearing Pry1  MALE</t>
  </si>
  <si>
    <t>Hearing Pry1  FEMALE</t>
  </si>
  <si>
    <t>Hearing Pry2  MALE</t>
  </si>
  <si>
    <t>Hearing Pry2  FEMALE</t>
  </si>
  <si>
    <t>Hearing Pry3  MALE</t>
  </si>
  <si>
    <t>Hearing Pry3  FEMALE</t>
  </si>
  <si>
    <t>Hearing Pry4  MALE</t>
  </si>
  <si>
    <t>Hearing Pry4  FEMALE</t>
  </si>
  <si>
    <t>Hearing Pry5  MALE</t>
  </si>
  <si>
    <t>Hearing Pry5  FEMALE</t>
  </si>
  <si>
    <t>Hearing Pry6  MALE</t>
  </si>
  <si>
    <t>Hearing Pry6  FEMALE</t>
  </si>
  <si>
    <t>Hearing Male</t>
  </si>
  <si>
    <t>Hearing Female</t>
  </si>
  <si>
    <t>Hearing Total</t>
  </si>
  <si>
    <t>Physical PRY1  Male</t>
  </si>
  <si>
    <t>Physical PRY1  Female</t>
  </si>
  <si>
    <t>Physical PRY2  Male</t>
  </si>
  <si>
    <t>Physical PRY2  Female</t>
  </si>
  <si>
    <t>Physical PRY3  Male</t>
  </si>
  <si>
    <t>Physical PRY3  Female</t>
  </si>
  <si>
    <t>Physical PRY4  Male</t>
  </si>
  <si>
    <t>Physical PRY4  Female</t>
  </si>
  <si>
    <t>Physical PRY5  Male</t>
  </si>
  <si>
    <t>Physical PRY5  Female</t>
  </si>
  <si>
    <t>Physical PRY6  Male</t>
  </si>
  <si>
    <t>Physical PRY6  Female</t>
  </si>
  <si>
    <t>Physical Male</t>
  </si>
  <si>
    <t>Physical Female</t>
  </si>
  <si>
    <t>Physical Total</t>
  </si>
  <si>
    <t>Mental PRY1 Male</t>
  </si>
  <si>
    <t>Mental PRY1 Female</t>
  </si>
  <si>
    <t>Mental PRY2 Male</t>
  </si>
  <si>
    <t>Mental PRY2 Female</t>
  </si>
  <si>
    <t>Mental PRY3 Male</t>
  </si>
  <si>
    <t>Mental PRY3 Female</t>
  </si>
  <si>
    <t>Mental PRY4 Male</t>
  </si>
  <si>
    <t>Mental PRY4 Female</t>
  </si>
  <si>
    <t>Mental PRY5 Male</t>
  </si>
  <si>
    <t>Mental PRY5 Female</t>
  </si>
  <si>
    <t>Mental PRY6 Male</t>
  </si>
  <si>
    <t>Mental PRY6 Female</t>
  </si>
  <si>
    <t>Mental Male</t>
  </si>
  <si>
    <t>Mental Female</t>
  </si>
  <si>
    <t>Mental Total</t>
  </si>
  <si>
    <t>Enugu Udi 13/14</t>
  </si>
  <si>
    <t>Lagos All 13/14</t>
  </si>
  <si>
    <t>Kwara All 13/14</t>
  </si>
  <si>
    <t>Kano Albasu</t>
  </si>
  <si>
    <t>Kano Fagge</t>
  </si>
  <si>
    <t>Kano Kumbotsu</t>
  </si>
  <si>
    <t>Kano All</t>
  </si>
  <si>
    <t>Jigawa Birniwa 13/14</t>
  </si>
  <si>
    <t>Jigawa Buji 13/14</t>
  </si>
  <si>
    <t>Jigawa Dutse 13/14</t>
  </si>
  <si>
    <t>Jigawa Gumel 13/14</t>
  </si>
  <si>
    <t>Jigawa K Hausa 13/14</t>
  </si>
  <si>
    <t>Jigawa M/Madore 13/14</t>
  </si>
  <si>
    <t>Jigawa Miga 13/14</t>
  </si>
  <si>
    <t>Jigawa Rigim 13/14</t>
  </si>
  <si>
    <t>Jigawa Roni 13/14</t>
  </si>
  <si>
    <t>Jigawa All</t>
  </si>
  <si>
    <t>Total Kachia</t>
  </si>
  <si>
    <t>Total Kaduna North</t>
  </si>
  <si>
    <t>Total Kaura</t>
  </si>
  <si>
    <t>Total Kauru</t>
  </si>
  <si>
    <t>Total Kajuru</t>
  </si>
  <si>
    <t>Total Kudan</t>
  </si>
  <si>
    <t>Total Makarfi</t>
  </si>
  <si>
    <t>Kaduna All</t>
  </si>
  <si>
    <t>ESSPIN ALL</t>
  </si>
  <si>
    <t>Baseline population</t>
  </si>
  <si>
    <t>Blind</t>
  </si>
  <si>
    <t>Hearing</t>
  </si>
  <si>
    <t>Physical</t>
  </si>
  <si>
    <t>Mental</t>
  </si>
  <si>
    <t>T</t>
  </si>
  <si>
    <t>%F</t>
  </si>
  <si>
    <t>All programme</t>
  </si>
  <si>
    <t>5% increase</t>
  </si>
  <si>
    <t>Total 2013/4</t>
  </si>
  <si>
    <t>5% increase (2014/5)</t>
  </si>
  <si>
    <t>New total (2014/2015)</t>
  </si>
  <si>
    <t>5% increase 2015/16</t>
  </si>
  <si>
    <t>New total (2015/2016)</t>
  </si>
  <si>
    <t>Cumulative Total by 2016</t>
  </si>
  <si>
    <t>TOTAL</t>
  </si>
  <si>
    <t>Change</t>
  </si>
  <si>
    <t>P2 Lit</t>
  </si>
  <si>
    <t>P2 Num</t>
  </si>
  <si>
    <t>P4 Lit</t>
  </si>
  <si>
    <t>P4 Num</t>
  </si>
  <si>
    <t>P2</t>
  </si>
  <si>
    <t>P4</t>
  </si>
  <si>
    <t>%M</t>
  </si>
  <si>
    <t>Impact Indicator 1a: Milestones achieved in 2014, based on Composite Survey Results 2</t>
  </si>
  <si>
    <t>LOGFRAME TARGETS</t>
  </si>
  <si>
    <t>ENUGU</t>
  </si>
  <si>
    <t>Grade 4</t>
  </si>
  <si>
    <t>Number</t>
  </si>
  <si>
    <t>%</t>
  </si>
  <si>
    <t>% of competent students that are girls</t>
  </si>
  <si>
    <t>Literacy</t>
  </si>
  <si>
    <t xml:space="preserve">Literacy </t>
  </si>
  <si>
    <t>JIGAWA</t>
  </si>
  <si>
    <t>KADUNA</t>
  </si>
  <si>
    <t>KANO</t>
  </si>
  <si>
    <t>KWARA</t>
  </si>
  <si>
    <t>LAGOS</t>
  </si>
  <si>
    <t>Number of children in P2 and P4 - taken from ASC Reports (2013/2014)</t>
  </si>
  <si>
    <t>Achieved: %ages taken from Table 32 Composite Survey 2, State level reports</t>
  </si>
  <si>
    <t>Achieved numbers: % x enrolment in P2 or P4 in Enugu (see below)</t>
  </si>
  <si>
    <t xml:space="preserve">Gender and Inclusion report: </t>
  </si>
  <si>
    <t xml:space="preserve">gender-based pupil test scores by states:find no significant differences in mean test scores </t>
  </si>
  <si>
    <t>Except Lagos where girls (67.8%) perform better than boys (61.1%) on the class-4 literacy test (L4).</t>
  </si>
  <si>
    <t>ESSPIN met benchmark</t>
  </si>
  <si>
    <t>non-ESSPIN met benchmark</t>
  </si>
  <si>
    <t>Gross target</t>
  </si>
  <si>
    <t>Pupils per grade</t>
  </si>
  <si>
    <t>Pupils worked with</t>
  </si>
  <si>
    <t>Target no.</t>
  </si>
  <si>
    <t>Risk %</t>
  </si>
  <si>
    <t>Risk no.</t>
  </si>
  <si>
    <t>Target %</t>
  </si>
  <si>
    <t>Public + Mission</t>
  </si>
  <si>
    <t>x 290</t>
  </si>
  <si>
    <t>Children</t>
  </si>
  <si>
    <t>Non-state (IQTE+nomadic)</t>
  </si>
  <si>
    <t>(logframe O4.4)</t>
  </si>
  <si>
    <t>x 47%</t>
  </si>
  <si>
    <t>Girls</t>
  </si>
  <si>
    <t>Boys</t>
  </si>
  <si>
    <t>Definition: Total enrolment in focus schools (Public + Mission) assuming average school size of 290, plus non-state beneficiaries (IQTE + nomadic)</t>
  </si>
  <si>
    <t>Revised target for 2016</t>
  </si>
  <si>
    <t>number of children</t>
  </si>
  <si>
    <t>% girls in ASC</t>
  </si>
  <si>
    <t>Schools worked with provided by States includes their plans for IQTE and non-formal schools.</t>
  </si>
  <si>
    <t>Number of schools is based on the same estimated figures for roll out as used for Output 3 and Learning outcome indicators</t>
  </si>
  <si>
    <t>Targets June 2015</t>
  </si>
  <si>
    <t>Targets June 2016</t>
  </si>
  <si>
    <t>Schools Remaining in state</t>
  </si>
  <si>
    <t>Total number of Schools</t>
  </si>
  <si>
    <t>Advanced Effectiveness</t>
  </si>
  <si>
    <t>Basic Effectiveness</t>
  </si>
  <si>
    <t>Total Number of Schools</t>
  </si>
  <si>
    <t>Notes</t>
  </si>
  <si>
    <t>Functional SBMCs</t>
  </si>
  <si>
    <t>Women and Children participating</t>
  </si>
  <si>
    <t>Communities supporting inclusive education</t>
  </si>
  <si>
    <r>
      <t>Lagos</t>
    </r>
    <r>
      <rPr>
        <sz val="12"/>
        <color theme="1"/>
        <rFont val="Calibri"/>
        <family val="2"/>
        <scheme val="minor"/>
      </rPr>
      <t xml:space="preserve"> </t>
    </r>
  </si>
  <si>
    <t>Key Considerations in Developing State Targets</t>
  </si>
  <si>
    <t>Previous trends in data 2012-13, 2013-14, 2014-15</t>
  </si>
  <si>
    <t>Status of statle commitment to rollout of SBMC development (analysis of commitments made and honoured to date and likely impact of election)</t>
  </si>
  <si>
    <t>Status of implementation of consolidation fund 2014-15 (delayed by 6 months)</t>
  </si>
  <si>
    <t>State context (for example Lagos restructured SBMCs state wide  in 2014)</t>
  </si>
  <si>
    <t>Public Primary Enrolment - 2011/2012 ASC</t>
  </si>
  <si>
    <t>Primary 2</t>
  </si>
  <si>
    <t>Primary 4</t>
  </si>
  <si>
    <t xml:space="preserve">Boy  </t>
  </si>
  <si>
    <t>Grand Total</t>
  </si>
  <si>
    <t>Impact Indicator 1: Milestones Achieved 2012</t>
  </si>
  <si>
    <t xml:space="preserve">Composite Survey Results - 2012; revised analysis in CS 2 Report </t>
  </si>
  <si>
    <t>All %</t>
  </si>
  <si>
    <t>M%</t>
  </si>
  <si>
    <t>#</t>
  </si>
  <si>
    <t>Multiple Indicator Cluster Survey (MICS) 2011, and 2016</t>
  </si>
  <si>
    <t>Added 2016 targets</t>
  </si>
  <si>
    <t>Decrease by 4% from baseline</t>
  </si>
  <si>
    <t>Added baseline (2011) and endline (2016) targets</t>
  </si>
  <si>
    <t>Decrease by 1% from baseline</t>
  </si>
  <si>
    <t>Composite Survey 2012, 2014 &amp; 2016 (Targets for 2012 set using MLA 2010)</t>
  </si>
  <si>
    <t>Programme and State level Targets for 2016 were recalculated based on the commitments made by states in 2014, to SIP roll out (over two years). These commitments aimed at reaching almost all schools by 2016. Over-achievement of targets in 2015 may be due to the SIP reaching more schools than the state had envisaged.</t>
  </si>
  <si>
    <t>Impact 3b</t>
  </si>
  <si>
    <t>Added actuals for 2014</t>
  </si>
  <si>
    <t>2014 actuals  based on 2013/14 ASC reports; result analysed in the ESSPIN 2014 Annual Report</t>
  </si>
  <si>
    <t>2015 and 2016 targets revised</t>
  </si>
  <si>
    <t>This is in response to the 2014 AR which identified that the 2015 and 2016 targets were unrealistic</t>
  </si>
  <si>
    <t>Following the recommendations of the Extension Business Case (2013), the indicator measuring SBMC effectiveness (old 4.1) was moved to Output 3. To encourage greater inclusion of women and children in SBMC actions, the indicator was restructured as two indicators (3.4 addressed SBMC functionality; 3.5 addressed inclusion of concerns of women and children).</t>
  </si>
  <si>
    <t>State 2016 targets for Kano, Lagos and Kwara revised</t>
  </si>
  <si>
    <t>Targets previously based on average school size of 290 x no. of focus schools. With 100% coverage in these states, total primary enrolment 2013/14 used</t>
  </si>
  <si>
    <t>Indicator</t>
  </si>
  <si>
    <t>Removed indictors 1b to 1d</t>
  </si>
  <si>
    <t>OPM were to provide data using Item Response Theory, however it has been much more complex than anticipated. It will reported on elsewhere.</t>
  </si>
  <si>
    <t>3500 (22%)</t>
  </si>
  <si>
    <t>Removed Super Impact indictaor 1a part 1</t>
  </si>
  <si>
    <t xml:space="preserve">Removed: Proportion of households living in extreme poverty ($1.25 per day, PPP). Stuart Martindale/ Esohe Eigbike confirmed that only one poverty indicator was needed and that 1a part 2 would be best to keep. </t>
  </si>
  <si>
    <t>Percentage of women aged 15-19 years currently married or in union</t>
  </si>
  <si>
    <t>Changed indicator on early marriage to Percentage of women aged 15-19 years currently married or in union</t>
  </si>
  <si>
    <t>Rationale: MICS does not collect data om early marriage for 20-24 year olds. The denominator is for women ages 20-49. It is thought that the data for the 15-19 age group would be a better reflection of any change on account of ESSPIN or education programmes</t>
  </si>
  <si>
    <t>Added national result for 2011 and target for 2016</t>
  </si>
  <si>
    <t>This makes the indicator consistent with Super Impact Indicator 1a where national and state level targets and results are provided</t>
  </si>
  <si>
    <t>Impact indicator 2a</t>
  </si>
  <si>
    <t>Removal of reference to ASC in source, removal of targets for 2014 and 2016</t>
  </si>
  <si>
    <t>The ASC 2014/15 collected data for the first time on attendance, however the returns for this indicator were of very poor quality. The data is not planned to be collected again in 2016 and so reference to ASC has been removed. NEDS data collection took place in 2015 and so will be used for this indicator.</t>
  </si>
  <si>
    <t>Impact indicator 3</t>
  </si>
  <si>
    <t>Added the words 'in focus states'</t>
  </si>
  <si>
    <t>The indicator wording in the logframe was ambigious. It now reads the same as the LF handbook and clearly states whatw e are measuring.</t>
  </si>
  <si>
    <t xml:space="preserve">a.  Public primary education completion rate in focus states (%) </t>
  </si>
  <si>
    <t>Impact Indicator 4b</t>
  </si>
  <si>
    <t>Indicator, No of additional disadvantaged and ulnerable children attending improved primary schools in Northern Nigeria, removed from logframe</t>
  </si>
  <si>
    <t>Output indicator 4.1, 4.2, 4.3</t>
  </si>
  <si>
    <t>Moved Total from above to below effective and advanced criteria.</t>
  </si>
  <si>
    <t>Ease of use. There had been confusion as to why the total seems to be staying constant.</t>
  </si>
  <si>
    <t>Annual School Census Reports (by June each year); State reports</t>
  </si>
  <si>
    <t>Outcome Indicator 3</t>
  </si>
  <si>
    <r>
      <t>Target and Actual (</t>
    </r>
    <r>
      <rPr>
        <b/>
        <sz val="10"/>
        <color indexed="8"/>
        <rFont val="Arial"/>
        <family val="2"/>
      </rPr>
      <t>June 2013)</t>
    </r>
  </si>
  <si>
    <t xml:space="preserve">Output indicator 4.1 </t>
  </si>
  <si>
    <t>Removed 2013 non-state figures</t>
  </si>
  <si>
    <t xml:space="preserve">The indicator is for public primary schools not non-state schools. </t>
  </si>
  <si>
    <t>Removed reference to percentages</t>
  </si>
  <si>
    <t>The indicators require for numbers not percentages. The percentages are confusing.</t>
  </si>
  <si>
    <t xml:space="preserve">C </t>
  </si>
  <si>
    <t xml:space="preserve">B </t>
  </si>
  <si>
    <t xml:space="preserve">A </t>
  </si>
  <si>
    <t>Output indicators 2.1-2.5</t>
  </si>
  <si>
    <t xml:space="preserve">Removed all planned and achieved (Ds) for LGEAs </t>
  </si>
  <si>
    <t>Output indicator 4.3</t>
  </si>
  <si>
    <t>They were missing in this version of the logframe</t>
  </si>
  <si>
    <t>Inserted achieved results at state level for 2013, achieved results for 2014 overall.</t>
  </si>
  <si>
    <t>Results have just become available.</t>
  </si>
  <si>
    <t>Inserted achieved results for 2015</t>
  </si>
  <si>
    <t>Output indicators 3.1-3.4</t>
  </si>
  <si>
    <t xml:space="preserve">Ease of use.  </t>
  </si>
  <si>
    <t>Not collected at state level</t>
  </si>
  <si>
    <t>Output indicator 3.2</t>
  </si>
  <si>
    <t>Removed JSS figures for 2013 from the logframe</t>
  </si>
  <si>
    <t>The indicator collects data on primary schools only</t>
  </si>
  <si>
    <t>Output indicator 3.3</t>
  </si>
  <si>
    <t>The indicator collects data on public primary schools only</t>
  </si>
  <si>
    <t>Removed non-state figures for 2013</t>
  </si>
  <si>
    <t>Not recorded a state level</t>
  </si>
  <si>
    <t>Output indicator 3.1</t>
  </si>
  <si>
    <t>It was agreed that net attendance rate of the poorest children (Impact indicator 2) waas sufficient as a measure of equity.</t>
  </si>
  <si>
    <t>The first LGEA self-assessment was conducted in 2015. The Ds in the earlier versions of the logframe were a mistake.</t>
  </si>
  <si>
    <t>Removed JSS references</t>
  </si>
  <si>
    <t>The indicator collects data on primary schools only and no JSS data was being presented</t>
  </si>
  <si>
    <t>Poorest quintile</t>
  </si>
  <si>
    <t>NAR:</t>
  </si>
  <si>
    <t xml:space="preserve">NAR:   </t>
  </si>
  <si>
    <t>Inserted lowest economic quintile and gender disaggregation for all states</t>
  </si>
  <si>
    <t>This indicator helps to track the impact that esspin is having for the poorest children by gender. Targets are not set at state level.</t>
  </si>
  <si>
    <t>Impact indicator 1b</t>
  </si>
  <si>
    <t>The indicator collects data on primary schools only.</t>
  </si>
  <si>
    <t xml:space="preserve">Total:  </t>
  </si>
  <si>
    <t xml:space="preserve">Total:            </t>
  </si>
  <si>
    <t xml:space="preserve">Total:                                                </t>
  </si>
  <si>
    <t xml:space="preserve">Total:                                            </t>
  </si>
  <si>
    <t>Removed JSS result for 2012</t>
  </si>
  <si>
    <t>Outcome Indicator 1b</t>
  </si>
  <si>
    <t>Actual (July 2012)</t>
  </si>
  <si>
    <t>Outcome Indicator 1c</t>
  </si>
  <si>
    <t>Outcome indicator 1b</t>
  </si>
  <si>
    <t>Literacy (%)</t>
  </si>
  <si>
    <t>SIP</t>
  </si>
  <si>
    <t>Numeracy (%)</t>
  </si>
  <si>
    <t>non-SIP</t>
  </si>
  <si>
    <t>The indicator uses Item Response Theory analysis to provide a more nuanced breakdown of pupils achievement in the literacy and numeracy tests.</t>
  </si>
  <si>
    <t>Inserted new indicator in logframe and achieved proportions for 2012 and 2014</t>
  </si>
  <si>
    <t>Output indicators 3.2 and 3.3</t>
  </si>
  <si>
    <t>ST increased 2015 and 2016 target figures</t>
  </si>
  <si>
    <t>2014 targets were significantly exceeded, and 2014 actuals exceeded 2015 and 2016 targets</t>
  </si>
  <si>
    <t>27,826 (20%)</t>
  </si>
  <si>
    <t>10,915 (8%)</t>
  </si>
  <si>
    <t>38,741 (28%)</t>
  </si>
  <si>
    <t>43,963 (32%)</t>
  </si>
  <si>
    <t>896 (7%)</t>
  </si>
  <si>
    <t>4943 (36%)</t>
  </si>
  <si>
    <t>3307 (9%)</t>
  </si>
  <si>
    <t>8023 (16%)</t>
  </si>
  <si>
    <t>6164 (43%)</t>
  </si>
  <si>
    <t>4493 (36%)</t>
  </si>
  <si>
    <t>1096 (9%)</t>
  </si>
  <si>
    <t>2653 (7%)</t>
  </si>
  <si>
    <t>1873 (15%)</t>
  </si>
  <si>
    <t>928 (8%)</t>
  </si>
  <si>
    <t>653 (2%)</t>
  </si>
  <si>
    <t>3427 (7%)</t>
  </si>
  <si>
    <t>3929 (32%)</t>
  </si>
  <si>
    <t>2833 (24%)</t>
  </si>
  <si>
    <t>1960 (5%)</t>
  </si>
  <si>
    <t>6549 (53%)</t>
  </si>
  <si>
    <t>1824 (15%)</t>
  </si>
  <si>
    <t>5757 (42%)</t>
  </si>
  <si>
    <t>3960 (11%)</t>
  </si>
  <si>
    <t>11450 (22%)</t>
  </si>
  <si>
    <t>7328 (51%)</t>
  </si>
  <si>
    <t>8422 (68%)</t>
  </si>
  <si>
    <t>3929 (33%)</t>
  </si>
  <si>
    <t>5758 (42%)</t>
  </si>
  <si>
    <t>4613 (13%)</t>
  </si>
  <si>
    <t>11252 (22%)</t>
  </si>
  <si>
    <t>9989 (69%)</t>
  </si>
  <si>
    <r>
      <t xml:space="preserve">3.3 </t>
    </r>
    <r>
      <rPr>
        <b/>
        <i/>
        <sz val="12"/>
        <color theme="1"/>
        <rFont val="Calibri"/>
        <family val="2"/>
        <scheme val="minor"/>
      </rPr>
      <t>Competent teachers</t>
    </r>
  </si>
  <si>
    <t>7,859 (53%)</t>
  </si>
  <si>
    <t>8,477 (57%)</t>
  </si>
  <si>
    <t>499 (25%)</t>
  </si>
  <si>
    <t>423 (10%)</t>
  </si>
  <si>
    <t>2579 (45%)</t>
  </si>
  <si>
    <t>823 (55%)</t>
  </si>
  <si>
    <t>453 (45%)</t>
  </si>
  <si>
    <t>300 (15%)</t>
  </si>
  <si>
    <t>2006 (35%)</t>
  </si>
  <si>
    <t>374 (25%)</t>
  </si>
  <si>
    <t>201 (20%)</t>
  </si>
  <si>
    <t>428 (35%)</t>
  </si>
  <si>
    <t>860 (15%)</t>
  </si>
  <si>
    <t>795 (65%)</t>
  </si>
  <si>
    <t>599 (30%)</t>
  </si>
  <si>
    <t>1720 (30%)</t>
  </si>
  <si>
    <t>705 (70%)</t>
  </si>
  <si>
    <t>673 (55%)</t>
  </si>
  <si>
    <t>799 (40%)</t>
  </si>
  <si>
    <t>846 (20%)</t>
  </si>
  <si>
    <t>3439 (60%)</t>
  </si>
  <si>
    <t>1197 (80%)</t>
  </si>
  <si>
    <t>899 (45%)</t>
  </si>
  <si>
    <t>3726 (65%)</t>
  </si>
  <si>
    <t>a. MLA</t>
  </si>
  <si>
    <t>b. QA</t>
  </si>
  <si>
    <t>c. SBMC</t>
  </si>
  <si>
    <t>Output indicator 4.1</t>
  </si>
  <si>
    <t>Changed advanced effective target for 2014</t>
  </si>
  <si>
    <t>The target in the current version of the logframe was incorrect. It has been changed to 806- it was previously 2784</t>
  </si>
  <si>
    <t>-</t>
  </si>
  <si>
    <t>Output indicators 4.1, 4.2 and 4.4</t>
  </si>
  <si>
    <t>Targets and achieved for state level data for 2013 inserted</t>
  </si>
  <si>
    <t>Targets and results were missing in previous version of the logframe.</t>
  </si>
  <si>
    <t>Targets for state level data for 2014 inserted</t>
  </si>
  <si>
    <t>Targets were missing in previous version of the logframe.</t>
  </si>
  <si>
    <t>2009/10</t>
  </si>
  <si>
    <t>2010/11</t>
  </si>
  <si>
    <t>% Change</t>
  </si>
  <si>
    <t>2011/12</t>
  </si>
  <si>
    <t>2012/3</t>
  </si>
  <si>
    <t>Annual cummulative enrolment changes</t>
  </si>
  <si>
    <t>2009-10</t>
  </si>
  <si>
    <t>2009-11</t>
  </si>
  <si>
    <t>2009-12</t>
  </si>
  <si>
    <t>2009-13</t>
  </si>
  <si>
    <t>2009-14</t>
  </si>
  <si>
    <r>
      <t>Cumulative number of additional children in public primary school in focus LGEAs disaggregated by gender, and</t>
    </r>
    <r>
      <rPr>
        <b/>
        <sz val="10"/>
        <rFont val="Arial"/>
        <family val="2"/>
      </rPr>
      <t xml:space="preserve"> disability </t>
    </r>
    <r>
      <rPr>
        <sz val="10"/>
        <rFont val="Arial"/>
        <family val="2"/>
      </rPr>
      <t xml:space="preserve">(OP Headline Indicator 1)
</t>
    </r>
  </si>
  <si>
    <t>Nigerian Education Data Survey (NEDS) (2010, 2015)</t>
  </si>
  <si>
    <t>a. Public primary school net attendance rate (NAR) (%), disaggregated by gender and poorest economic quintile</t>
  </si>
  <si>
    <t>Moved all totals below figures for male and female</t>
  </si>
  <si>
    <t>Easier to read</t>
  </si>
  <si>
    <t>Moved all totals below figures for male and female at state level</t>
  </si>
  <si>
    <t>Target and actual (Aug 2014)</t>
  </si>
  <si>
    <r>
      <t xml:space="preserve">Cumulative number of additional children in public primary school in focus LGEAs disaggregated by </t>
    </r>
    <r>
      <rPr>
        <b/>
        <sz val="10"/>
        <rFont val="Arial"/>
        <family val="2"/>
      </rPr>
      <t>gender</t>
    </r>
    <r>
      <rPr>
        <sz val="10"/>
        <rFont val="Arial"/>
        <family val="2"/>
      </rPr>
      <t>, and</t>
    </r>
    <r>
      <rPr>
        <b/>
        <sz val="10"/>
        <rFont val="Arial"/>
        <family val="2"/>
      </rPr>
      <t xml:space="preserve"> </t>
    </r>
    <r>
      <rPr>
        <sz val="10"/>
        <rFont val="Arial"/>
        <family val="2"/>
      </rPr>
      <t xml:space="preserve">disability (OP Headline Indicator 1)
</t>
    </r>
  </si>
  <si>
    <t>Number of inclusive schools</t>
  </si>
  <si>
    <t>Not recorded - new indicator</t>
  </si>
  <si>
    <t>Baseline population (ASC 2013/14) - from which growth measured</t>
  </si>
  <si>
    <t>Altered the targets to ensure they reflect the cumulative increases</t>
  </si>
  <si>
    <t>Consistency with indicator on gender and DFID's operational plan headline indicator</t>
  </si>
  <si>
    <t>New indicator: no targets set</t>
  </si>
  <si>
    <t>Achieved figures</t>
  </si>
  <si>
    <t>Targets</t>
  </si>
  <si>
    <t>Revised target for 2015</t>
  </si>
  <si>
    <t>Schools worked with (Dec 14)</t>
  </si>
  <si>
    <t>Schools worked with (all)</t>
  </si>
  <si>
    <t>Non state (all)</t>
  </si>
  <si>
    <t>GRAND TOTAL</t>
  </si>
  <si>
    <t>DFID (£) 2 million</t>
  </si>
  <si>
    <t>DFID (£) 5.5 million</t>
  </si>
  <si>
    <t>DFID (£) 15.3 million</t>
  </si>
  <si>
    <t>DFID (£) 9.8 million</t>
  </si>
  <si>
    <t>Output Indicators 4.1, 4.2 and 4.3</t>
  </si>
  <si>
    <t>Increased the target for 2015 for Kwara</t>
  </si>
  <si>
    <t>This change reflects the increased number of schools in Kwara with SBMCs and overachievemtn of taregt in 2014.</t>
  </si>
  <si>
    <t>Impact weighting and financial inputs</t>
  </si>
  <si>
    <t>% and GBP updated to reflect current budget and emphasis</t>
  </si>
  <si>
    <t>SBMC work is now back in output 4 so its weighting has increased accordingly.</t>
  </si>
  <si>
    <t>1. Enrolment Changes in ESSPIN  Supported LGEAs 2009/10 - 2010/11 (Outcome indicator 1)</t>
  </si>
  <si>
    <t>Gross Enrolment (pre-primary and primary)(public and private)(excludes Lagos Private)</t>
  </si>
  <si>
    <t>2. Enrolment changes in ESSPIN Supported LGEAs 2010/11 - 2011/12 (Outcome indicator 1)</t>
  </si>
  <si>
    <t>3. Enrolment changes in ESSPIN Supported LGEAs 2011/12 - 2012/13 (Outcome indicator 1)</t>
  </si>
  <si>
    <t>4. Enrolment changes in ESSPIN Supported LGEAs 2012/13 - 2013/14 (Outcome indicator 1)</t>
  </si>
  <si>
    <t>2012/13</t>
  </si>
  <si>
    <t>2013/14</t>
  </si>
  <si>
    <t>ESSPIN Logframe Indicator: Outcome 2a (August 2015)</t>
  </si>
  <si>
    <t>Annual cummulative enrolment change (by state)</t>
  </si>
  <si>
    <t>Additional girls more than boys</t>
  </si>
  <si>
    <t>Actuals</t>
  </si>
  <si>
    <t>ALL</t>
  </si>
  <si>
    <t>Actuals by state 2012</t>
  </si>
  <si>
    <t>Actuals by state 2014</t>
  </si>
  <si>
    <t>Targets by state 2015</t>
  </si>
  <si>
    <t>Baseline population 2009-2014 ASC change</t>
  </si>
  <si>
    <t>Outcome Indicator 2a- disability</t>
  </si>
  <si>
    <t>Outcome indicator 2a-gender</t>
  </si>
  <si>
    <t>Indicator title updated to include 'cumulative', results set to match DFID's, targets reset and updated to be cumualtive</t>
  </si>
  <si>
    <t>The indicator has generally reported cumulative results despite the wording of the indicator. This change ensures it is consistent. The figures here use additional children between 2009-2014 as a baseline. Change has been recalculated based on work done by DFID and Allan Findley on ASC data. Targets have been reset based on 3% increase per year.</t>
  </si>
  <si>
    <t>Grade 4 (BM)</t>
  </si>
  <si>
    <t>Grade 2 (BM)</t>
  </si>
  <si>
    <t>Grade 4 (FL)</t>
  </si>
  <si>
    <t>Grade 2 (EL)</t>
  </si>
  <si>
    <t xml:space="preserve">Proportion of poorest children in Primary 4 in public primary schools demonstrating improved learning outcomes in literacy and numeracy, disaggregated by gender and intensity of intervention at the school.  </t>
  </si>
  <si>
    <t>Proportion of Primary 4 and Primary 2 pupils in public primary schools in focus States 1) demonstrating learning outcomes appropriate for their grade (meeting the grade benchmark (BM)) or 2) acheiving functional (FL) and emerging learning (EL), disaggregated by gender, and intensity of intervention at the school in Literacy and Numeracy</t>
  </si>
  <si>
    <t>Item Response Theory Analysis on Composite Survey Reports in 2012, 2014 and 2016</t>
  </si>
  <si>
    <t>Outcome indicator 1c</t>
  </si>
  <si>
    <t>Inserted new indicator in logframe and achieved proportions for 2014</t>
  </si>
  <si>
    <t>The indicator uses Item Response Theory analysis to provide a more nuanced breakdown of pupils achievement in the literacy and numeracy tests for the poorest pupils.</t>
  </si>
  <si>
    <t>Average school size (based on 2013/4 ASC)</t>
  </si>
  <si>
    <t>Additional children</t>
  </si>
  <si>
    <t>Total children</t>
  </si>
  <si>
    <t>Number of children based on assumption of average number children in school</t>
  </si>
  <si>
    <t>Impact indicator 2b</t>
  </si>
  <si>
    <t>Targets for 2015 and 2016 revised</t>
  </si>
  <si>
    <t>Targets revised to reflect the roll out in 2014. Methodology also updated to account for varying average class sizes.</t>
  </si>
  <si>
    <t>Outcome Indicator 4</t>
  </si>
  <si>
    <t>Moved to outcome indicator 4</t>
  </si>
  <si>
    <t>This was thought to be more suitable as an outcome indicator</t>
  </si>
  <si>
    <t>Number of children to benefit from school improvement programme (SIP) in public primary schools,disaggregated by gender.</t>
  </si>
  <si>
    <t>1.6% (12,652)</t>
  </si>
  <si>
    <t>2% (15,815)</t>
  </si>
  <si>
    <t>2.5% (23,684)</t>
  </si>
  <si>
    <t>6.5% (61,579)</t>
  </si>
  <si>
    <t>1.6% (6,540)</t>
  </si>
  <si>
    <t>1.4% (5,723)</t>
  </si>
  <si>
    <t>2.4% (11,780)</t>
  </si>
  <si>
    <t>5.2% (25,522)</t>
  </si>
  <si>
    <t>1.6% (6,112)</t>
  </si>
  <si>
    <t>2% (7,640)</t>
  </si>
  <si>
    <t>2.5% (11,414)</t>
  </si>
  <si>
    <t>6.5% (29,676)</t>
  </si>
  <si>
    <t>2.7% (20,320)</t>
  </si>
  <si>
    <t>6% (45,156)</t>
  </si>
  <si>
    <t>4.2% (37,175)</t>
  </si>
  <si>
    <t>12.1% (107,101)</t>
  </si>
  <si>
    <t>1.5% (6,911)</t>
  </si>
  <si>
    <t>7.3% (30,979)</t>
  </si>
  <si>
    <t>11.9% (54,830)</t>
  </si>
  <si>
    <t>12.1% (51,349)</t>
  </si>
  <si>
    <t>2.9% (11,511)</t>
  </si>
  <si>
    <t>3.7% (14,686)</t>
  </si>
  <si>
    <t>2.3% (8,180)</t>
  </si>
  <si>
    <t>8.3% (29,521)</t>
  </si>
  <si>
    <t>3.1% (24,760)</t>
  </si>
  <si>
    <t>6.9% (54,876)</t>
  </si>
  <si>
    <t xml:space="preserve"> 5.8% (55,316)</t>
  </si>
  <si>
    <t>12.0% (114,133)</t>
  </si>
  <si>
    <t>3.1% (12,779)</t>
  </si>
  <si>
    <t>3.1% (11,961)</t>
  </si>
  <si>
    <t>6.9% (28,367)</t>
  </si>
  <si>
    <t>6.9% (26,509)</t>
  </si>
  <si>
    <t>5.8% (28,658)</t>
  </si>
  <si>
    <t>12.0% (59,131)</t>
  </si>
  <si>
    <t>12.0% (55,002)</t>
  </si>
  <si>
    <t>5.8% (26,658)</t>
  </si>
  <si>
    <t>11.9% (3,769)</t>
  </si>
  <si>
    <t>11.9% (1,912)</t>
  </si>
  <si>
    <t>11.9% (1,857)</t>
  </si>
  <si>
    <t>0.9% (810)</t>
  </si>
  <si>
    <t>0.9% (460)</t>
  </si>
  <si>
    <t>0.9% (350)</t>
  </si>
  <si>
    <t>1.5% (1,484)</t>
  </si>
  <si>
    <t>1.5% (1,306)</t>
  </si>
  <si>
    <t>1.5% (2,790)</t>
  </si>
  <si>
    <t>1.6% (1,163)</t>
  </si>
  <si>
    <t>1.6% (1,049)</t>
  </si>
  <si>
    <t>1.6% (6,206)</t>
  </si>
  <si>
    <t>7.0% (1,163)</t>
  </si>
  <si>
    <t>7.0% (1,049)</t>
  </si>
  <si>
    <t>7.0% (2,212)</t>
  </si>
  <si>
    <t>12.8% (4,406)</t>
  </si>
  <si>
    <t>12.8% (4,566)</t>
  </si>
  <si>
    <t>12.8% (8,972)</t>
  </si>
  <si>
    <t>17.0% (2,732)</t>
  </si>
  <si>
    <t>17.0% (2,653)</t>
  </si>
  <si>
    <t>17.0% (5,385)</t>
  </si>
  <si>
    <t>6.1% (3,222)</t>
  </si>
  <si>
    <t>6.1% (2,450)</t>
  </si>
  <si>
    <t>6.1% (5,672)</t>
  </si>
  <si>
    <t>3.8% (3,709)</t>
  </si>
  <si>
    <t>3.8% (3,266)</t>
  </si>
  <si>
    <t>3.8% (6,975)</t>
  </si>
  <si>
    <t>5.7% (10,907)</t>
  </si>
  <si>
    <t>5.7% (10,814)</t>
  </si>
  <si>
    <t>5.7% (21,721)</t>
  </si>
  <si>
    <t>10.0% (1,662)</t>
  </si>
  <si>
    <t>10.0% (1,499)</t>
  </si>
  <si>
    <t>10.0% (3,161)</t>
  </si>
  <si>
    <t>17.0% (5,875)</t>
  </si>
  <si>
    <t>17.0% (6,088)</t>
  </si>
  <si>
    <t>17.0% (11,963)</t>
  </si>
  <si>
    <t>34.0% (5,285)</t>
  </si>
  <si>
    <t>34.0% (5,218)</t>
  </si>
  <si>
    <t>34.0% (10,504)</t>
  </si>
  <si>
    <t>4.3% (2,389)</t>
  </si>
  <si>
    <t>4.3% (1,818)</t>
  </si>
  <si>
    <t>4.3% (4,207)</t>
  </si>
  <si>
    <t>3.8% (4,527)</t>
  </si>
  <si>
    <t>3.8% (3,913)</t>
  </si>
  <si>
    <t>3.8% (8,440)</t>
  </si>
  <si>
    <t>4.1% (10,323)</t>
  </si>
  <si>
    <t>4.1% (10,154)</t>
  </si>
  <si>
    <t>4.1% (20,477)</t>
  </si>
  <si>
    <t>5.0% (926)</t>
  </si>
  <si>
    <t>5.0% (852)</t>
  </si>
  <si>
    <t>5.0% (1,778)</t>
  </si>
  <si>
    <t>17.0% (4,875)</t>
  </si>
  <si>
    <t>17.0% (5,035)</t>
  </si>
  <si>
    <t>17.0% (9,910)</t>
  </si>
  <si>
    <t>25.5% (3,964)</t>
  </si>
  <si>
    <t>25.5% (3,914)</t>
  </si>
  <si>
    <t>25.5% (7,878)</t>
  </si>
  <si>
    <t>8.7% (4,779)</t>
  </si>
  <si>
    <t>8.7% (3,636)</t>
  </si>
  <si>
    <t>8.7% (8,414)</t>
  </si>
  <si>
    <t>11.4% (13,580)</t>
  </si>
  <si>
    <t>11.4% (11,740)</t>
  </si>
  <si>
    <t>11.4% (25,320)</t>
  </si>
  <si>
    <t>9.8% (24,775)</t>
  </si>
  <si>
    <t>9.8% (24,370)</t>
  </si>
  <si>
    <t>9.8% (49,145)</t>
  </si>
  <si>
    <t>10.0% (1,852)</t>
  </si>
  <si>
    <t>10.0% (1,703)</t>
  </si>
  <si>
    <t>10.0% (3,556)</t>
  </si>
  <si>
    <t>34.0% (9,750)</t>
  </si>
  <si>
    <t>34.0% (10,070)</t>
  </si>
  <si>
    <t>34.0% (19,820)</t>
  </si>
  <si>
    <t>7% (1,092)</t>
  </si>
  <si>
    <t>9.2% (1,478)</t>
  </si>
  <si>
    <t>4.1% (659)</t>
  </si>
  <si>
    <t>3.2% (499)</t>
  </si>
  <si>
    <t>11% (1,710)</t>
  </si>
  <si>
    <t>15.2% (2,333)</t>
  </si>
  <si>
    <t>13.5% (2,098)</t>
  </si>
  <si>
    <t>15.7% (2,410)</t>
  </si>
  <si>
    <t>0.1% (53)</t>
  </si>
  <si>
    <t>0% (0)</t>
  </si>
  <si>
    <t>0.1% (93)</t>
  </si>
  <si>
    <t>1.9% (1,048)</t>
  </si>
  <si>
    <t>0.2% (84)</t>
  </si>
  <si>
    <t>0.5% (485)</t>
  </si>
  <si>
    <t>0.3% (256)</t>
  </si>
  <si>
    <t>0.9% (1,074)</t>
  </si>
  <si>
    <t>1.6% (1,651)</t>
  </si>
  <si>
    <t>4.5% (5,370)</t>
  </si>
  <si>
    <t>6.7% (6,912)</t>
  </si>
  <si>
    <t>0.7% (1,339)</t>
  </si>
  <si>
    <t>2.1% (3,984)</t>
  </si>
  <si>
    <t>2.3% (5,831)</t>
  </si>
  <si>
    <t>0.7% (1,746)</t>
  </si>
  <si>
    <t>3.4% (8,619)</t>
  </si>
  <si>
    <t>6.5% (16,209)</t>
  </si>
  <si>
    <t>3% (500)</t>
  </si>
  <si>
    <t>5.3% (798)</t>
  </si>
  <si>
    <t>2.6% (434)</t>
  </si>
  <si>
    <t>4.3% (647)</t>
  </si>
  <si>
    <t>0.4% (74)</t>
  </si>
  <si>
    <t>0.4% (68)</t>
  </si>
  <si>
    <t>0.4% (143)</t>
  </si>
  <si>
    <t>2.6% (484)</t>
  </si>
  <si>
    <t>6.4% (1,094)</t>
  </si>
  <si>
    <t>7.8% (2,695)</t>
  </si>
  <si>
    <t>8.2% (2,834)</t>
  </si>
  <si>
    <t>11.6% (4,154)</t>
  </si>
  <si>
    <t>8.4% (2,409)</t>
  </si>
  <si>
    <t>21.3% (6,309)</t>
  </si>
  <si>
    <t>28.1% (8,058)</t>
  </si>
  <si>
    <t>31% (9,182)</t>
  </si>
  <si>
    <t xml:space="preserve">Proportion (and number) of Primary 4 and Primary 2 pupils in public primary schools in focus states who: </t>
  </si>
  <si>
    <t>The targets for 2014 have been removed. They were set using a different methodology which was found to have issues and is now redundant.</t>
  </si>
  <si>
    <t>8.2% (2,570)</t>
  </si>
  <si>
    <t>3.6% (1,158)</t>
  </si>
  <si>
    <t>13.0% (4,043)</t>
  </si>
  <si>
    <t>14.6% (4,508)</t>
  </si>
  <si>
    <t>1.2% (1,132)</t>
  </si>
  <si>
    <t>0.8% (1,623)</t>
  </si>
  <si>
    <t>0.4% (741)</t>
  </si>
  <si>
    <t>1.2% (2,725)</t>
  </si>
  <si>
    <t>5.4% (12,282)</t>
  </si>
  <si>
    <t>1.4% (5,323)</t>
  </si>
  <si>
    <t>1.5% (7,576)</t>
  </si>
  <si>
    <t>4.8% (24,828)</t>
  </si>
  <si>
    <t>4.1% (1,298)</t>
  </si>
  <si>
    <t>3.4% (1,081)</t>
  </si>
  <si>
    <t>4.1% (1,578)</t>
  </si>
  <si>
    <t>7.3% (2,614)</t>
  </si>
  <si>
    <t>7.6% (5,310)</t>
  </si>
  <si>
    <t>9.9% (6,988)</t>
  </si>
  <si>
    <t>14.5% (8,718)</t>
  </si>
  <si>
    <t>29.6% (17,240)</t>
  </si>
  <si>
    <t>0.4% (5,323)</t>
  </si>
  <si>
    <t>Item Response Theory Analysis on Composite Survey Reports in 2012, 2014 and 2016 (SIP proportions predicted to go down 2014 to 2016, in line with significant increase in number of schools.  Overall proportions predicted to increase, and both overall and in SIP schools, the numbers of children meeting the indicator should increase.)</t>
  </si>
  <si>
    <t>Annual State Self Assessment Reports (assessment criteria have changed between 2014 and 2015 thus target grade levels have been revised)</t>
  </si>
  <si>
    <t>Annual State Self Assessment Reports  (assessment criteria have changed between 2014 and 2015 thus target grade levels have been revised)</t>
  </si>
  <si>
    <t>Data was not collected on the levels in 2014</t>
  </si>
  <si>
    <t>Target no. boys</t>
  </si>
  <si>
    <t>Target no. girls</t>
  </si>
  <si>
    <t xml:space="preserve">Indicator 1a: Learning Benchmark Targets 2016 </t>
  </si>
  <si>
    <t>Annual self assessment reports (2015 targets reduced to reflect the new, more demanding criteria)</t>
  </si>
  <si>
    <t>Outcome Indicator 4 - Number of children to benefit from the SIP; programme level targets</t>
  </si>
  <si>
    <t>B [C]</t>
  </si>
  <si>
    <t>B [B]</t>
  </si>
  <si>
    <t>C [D]</t>
  </si>
  <si>
    <t>A [C[</t>
  </si>
  <si>
    <t>A [B]</t>
  </si>
  <si>
    <t>C [B]</t>
  </si>
  <si>
    <t>B [A]</t>
  </si>
  <si>
    <t>2,007 (12.8%)</t>
  </si>
  <si>
    <t>3,000 (19.1%)</t>
  </si>
  <si>
    <t>5,007 (31.8%)</t>
  </si>
  <si>
    <t>11 (0.9%)</t>
  </si>
  <si>
    <t>391 (19.2%)</t>
  </si>
  <si>
    <t>440 (10.4%)</t>
  </si>
  <si>
    <t>680 (12.4%)</t>
  </si>
  <si>
    <t>285 (16.2%)</t>
  </si>
  <si>
    <t>200 (19.9%)</t>
  </si>
  <si>
    <t>195 (15.9%)</t>
  </si>
  <si>
    <t>306 (15.0%)</t>
  </si>
  <si>
    <t>528 (12.5%)</t>
  </si>
  <si>
    <t>737 (13.4%)</t>
  </si>
  <si>
    <t>845 (48.2%)</t>
  </si>
  <si>
    <t>389 (38.7%)</t>
  </si>
  <si>
    <t>206 (16.8%)</t>
  </si>
  <si>
    <t>697 (34.2%)</t>
  </si>
  <si>
    <t>968 (22.9%)</t>
  </si>
  <si>
    <t>1417 (25.8%)</t>
  </si>
  <si>
    <t>1130 (64.4%)</t>
  </si>
  <si>
    <t>589 (58.6%)</t>
  </si>
  <si>
    <t>2,955 (18.8%)</t>
  </si>
  <si>
    <t>4,504 (28.6%)</t>
  </si>
  <si>
    <t>7,459 (47.4%)</t>
  </si>
  <si>
    <t>31,218 (22.4%)</t>
  </si>
  <si>
    <t>26,908 (19.3%)</t>
  </si>
  <si>
    <t>58,126 (41.8%)</t>
  </si>
  <si>
    <t>2,370 (19.8%)</t>
  </si>
  <si>
    <t>3,920 (28.9%)</t>
  </si>
  <si>
    <t>11,345 (31.9%)</t>
  </si>
  <si>
    <t>8,711 (17.0%)</t>
  </si>
  <si>
    <t>2,051 (14.2%)</t>
  </si>
  <si>
    <t>2,821 (22.9%)</t>
  </si>
  <si>
    <t>1,619 (13.5%)</t>
  </si>
  <si>
    <t>2,440 (18.0%)</t>
  </si>
  <si>
    <t>622 (1.7%)</t>
  </si>
  <si>
    <t>8,824 (17.2%)</t>
  </si>
  <si>
    <t>8,800 (61.0%)</t>
  </si>
  <si>
    <t>4,603 (37.3%)</t>
  </si>
  <si>
    <t>3,989 (33.3%)</t>
  </si>
  <si>
    <t>6,360 (46.9%)</t>
  </si>
  <si>
    <t>11,967 (33.6%)</t>
  </si>
  <si>
    <t>17,535 (34.2%)</t>
  </si>
  <si>
    <t>10,851 (75.2%)</t>
  </si>
  <si>
    <t>7,424 (60.2%)</t>
  </si>
  <si>
    <t>2,504 (15.9%)</t>
  </si>
  <si>
    <t>3,804 (24.2%)</t>
  </si>
  <si>
    <t>6,308 (40.1%)</t>
  </si>
  <si>
    <t>519 (42.4%)</t>
  </si>
  <si>
    <t>207 (10.2%)</t>
  </si>
  <si>
    <t>46 (1.1%)</t>
  </si>
  <si>
    <t>1,072 (19.5%)</t>
  </si>
  <si>
    <t>213 (12.1%)</t>
  </si>
  <si>
    <t>447 (44.5%)</t>
  </si>
  <si>
    <t>530 (26.0%)</t>
  </si>
  <si>
    <t>619 (14.7%)</t>
  </si>
  <si>
    <t>1,039 (18.9%)</t>
  </si>
  <si>
    <t>1,032 (58.8%)</t>
  </si>
  <si>
    <t>714 (58.4%)</t>
  </si>
  <si>
    <t>737 (36.2%)</t>
  </si>
  <si>
    <t>665 (15.7%)</t>
  </si>
  <si>
    <t>2,111 (38.4%)</t>
  </si>
  <si>
    <t>1,245 (71.0%)</t>
  </si>
  <si>
    <t>836 (83.2%)</t>
  </si>
  <si>
    <t>12972 (6203 girls)</t>
  </si>
  <si>
    <t>35072 (14327 girls)</t>
  </si>
  <si>
    <t>60691 (33177 girls)</t>
  </si>
  <si>
    <t>No of schools</t>
  </si>
  <si>
    <t>(source- ASC 2014/15 census table 2.1)</t>
  </si>
  <si>
    <r>
      <rPr>
        <sz val="10"/>
        <color theme="1"/>
        <rFont val="Arial"/>
        <family val="2"/>
      </rPr>
      <t>749</t>
    </r>
    <r>
      <rPr>
        <sz val="10"/>
        <color theme="1"/>
        <rFont val="Arial"/>
        <family val="2"/>
      </rPr>
      <t xml:space="preserve"> (</t>
    </r>
    <r>
      <rPr>
        <sz val="10"/>
        <color theme="1"/>
        <rFont val="Arial"/>
        <family val="2"/>
      </rPr>
      <t>61</t>
    </r>
    <r>
      <rPr>
        <sz val="10"/>
        <color theme="1"/>
        <rFont val="Arial"/>
        <family val="2"/>
      </rPr>
      <t>%)</t>
    </r>
  </si>
  <si>
    <r>
      <t>370</t>
    </r>
    <r>
      <rPr>
        <sz val="10"/>
        <color theme="1"/>
        <rFont val="Arial"/>
        <family val="2"/>
      </rPr>
      <t xml:space="preserve"> (</t>
    </r>
    <r>
      <rPr>
        <sz val="10"/>
        <color theme="1"/>
        <rFont val="Arial"/>
        <family val="2"/>
      </rPr>
      <t>30</t>
    </r>
    <r>
      <rPr>
        <sz val="10"/>
        <color theme="1"/>
        <rFont val="Arial"/>
        <family val="2"/>
      </rPr>
      <t>%)</t>
    </r>
  </si>
  <si>
    <t>379 (31%)</t>
  </si>
  <si>
    <r>
      <rPr>
        <sz val="10"/>
        <color theme="1"/>
        <rFont val="Arial"/>
        <family val="2"/>
      </rPr>
      <t>540</t>
    </r>
    <r>
      <rPr>
        <sz val="10"/>
        <color theme="1"/>
        <rFont val="Arial"/>
        <family val="2"/>
      </rPr>
      <t xml:space="preserve"> (2</t>
    </r>
    <r>
      <rPr>
        <sz val="10"/>
        <color theme="1"/>
        <rFont val="Arial"/>
        <family val="2"/>
      </rPr>
      <t>7</t>
    </r>
    <r>
      <rPr>
        <sz val="10"/>
        <color theme="1"/>
        <rFont val="Arial"/>
        <family val="2"/>
      </rPr>
      <t>%)</t>
    </r>
  </si>
  <si>
    <r>
      <rPr>
        <sz val="10"/>
        <color theme="1"/>
        <rFont val="Arial"/>
        <family val="2"/>
      </rPr>
      <t>452</t>
    </r>
    <r>
      <rPr>
        <sz val="10"/>
        <color theme="1"/>
        <rFont val="Arial"/>
        <family val="2"/>
      </rPr>
      <t xml:space="preserve"> (</t>
    </r>
    <r>
      <rPr>
        <sz val="10"/>
        <color theme="1"/>
        <rFont val="Arial"/>
        <family val="2"/>
      </rPr>
      <t>23</t>
    </r>
    <r>
      <rPr>
        <sz val="10"/>
        <color theme="1"/>
        <rFont val="Arial"/>
        <family val="2"/>
      </rPr>
      <t>%)</t>
    </r>
  </si>
  <si>
    <r>
      <rPr>
        <sz val="10"/>
        <color theme="1"/>
        <rFont val="Arial"/>
        <family val="2"/>
      </rPr>
      <t>992</t>
    </r>
    <r>
      <rPr>
        <sz val="10"/>
        <color theme="1"/>
        <rFont val="Arial"/>
        <family val="2"/>
      </rPr>
      <t xml:space="preserve"> (</t>
    </r>
    <r>
      <rPr>
        <sz val="10"/>
        <color theme="1"/>
        <rFont val="Arial"/>
        <family val="2"/>
      </rPr>
      <t>5</t>
    </r>
    <r>
      <rPr>
        <sz val="10"/>
        <color theme="1"/>
        <rFont val="Arial"/>
        <family val="2"/>
      </rPr>
      <t>0%)</t>
    </r>
  </si>
  <si>
    <r>
      <rPr>
        <sz val="10"/>
        <color theme="1"/>
        <rFont val="Arial"/>
        <family val="2"/>
      </rPr>
      <t>353</t>
    </r>
    <r>
      <rPr>
        <sz val="10"/>
        <color theme="1"/>
        <rFont val="Arial"/>
        <family val="2"/>
      </rPr>
      <t xml:space="preserve"> (</t>
    </r>
    <r>
      <rPr>
        <sz val="10"/>
        <color theme="1"/>
        <rFont val="Arial"/>
        <family val="2"/>
      </rPr>
      <t>8</t>
    </r>
    <r>
      <rPr>
        <sz val="10"/>
        <color theme="1"/>
        <rFont val="Arial"/>
        <family val="2"/>
      </rPr>
      <t>%)</t>
    </r>
  </si>
  <si>
    <r>
      <rPr>
        <sz val="10"/>
        <color theme="1"/>
        <rFont val="Arial"/>
        <family val="2"/>
      </rPr>
      <t>667</t>
    </r>
    <r>
      <rPr>
        <sz val="10"/>
        <color theme="1"/>
        <rFont val="Arial"/>
        <family val="2"/>
      </rPr>
      <t xml:space="preserve"> (1</t>
    </r>
    <r>
      <rPr>
        <sz val="10"/>
        <color theme="1"/>
        <rFont val="Arial"/>
        <family val="2"/>
      </rPr>
      <t>6</t>
    </r>
    <r>
      <rPr>
        <sz val="10"/>
        <color theme="1"/>
        <rFont val="Arial"/>
        <family val="2"/>
      </rPr>
      <t>%)</t>
    </r>
  </si>
  <si>
    <r>
      <rPr>
        <sz val="10"/>
        <color theme="1"/>
        <rFont val="Arial"/>
        <family val="2"/>
      </rPr>
      <t>1020</t>
    </r>
    <r>
      <rPr>
        <sz val="10"/>
        <color theme="1"/>
        <rFont val="Arial"/>
        <family val="2"/>
      </rPr>
      <t xml:space="preserve"> (2</t>
    </r>
    <r>
      <rPr>
        <sz val="10"/>
        <color theme="1"/>
        <rFont val="Arial"/>
        <family val="2"/>
      </rPr>
      <t>4</t>
    </r>
    <r>
      <rPr>
        <sz val="10"/>
        <color theme="1"/>
        <rFont val="Arial"/>
        <family val="2"/>
      </rPr>
      <t>%)</t>
    </r>
  </si>
  <si>
    <r>
      <rPr>
        <sz val="10"/>
        <color theme="1"/>
        <rFont val="Arial"/>
        <family val="2"/>
      </rPr>
      <t>1168</t>
    </r>
    <r>
      <rPr>
        <sz val="10"/>
        <color theme="1"/>
        <rFont val="Arial"/>
        <family val="2"/>
      </rPr>
      <t xml:space="preserve"> (</t>
    </r>
    <r>
      <rPr>
        <sz val="10"/>
        <color theme="1"/>
        <rFont val="Arial"/>
        <family val="2"/>
      </rPr>
      <t>20</t>
    </r>
    <r>
      <rPr>
        <sz val="10"/>
        <color theme="1"/>
        <rFont val="Arial"/>
        <family val="2"/>
      </rPr>
      <t>%)</t>
    </r>
  </si>
  <si>
    <r>
      <rPr>
        <sz val="10"/>
        <color theme="1"/>
        <rFont val="Arial"/>
        <family val="2"/>
      </rPr>
      <t>1296</t>
    </r>
    <r>
      <rPr>
        <sz val="10"/>
        <color theme="1"/>
        <rFont val="Arial"/>
        <family val="2"/>
      </rPr>
      <t xml:space="preserve"> (</t>
    </r>
    <r>
      <rPr>
        <sz val="10"/>
        <color theme="1"/>
        <rFont val="Arial"/>
        <family val="2"/>
      </rPr>
      <t>23</t>
    </r>
    <r>
      <rPr>
        <sz val="10"/>
        <color theme="1"/>
        <rFont val="Arial"/>
        <family val="2"/>
      </rPr>
      <t>%)</t>
    </r>
  </si>
  <si>
    <r>
      <rPr>
        <sz val="10"/>
        <color theme="1"/>
        <rFont val="Arial"/>
        <family val="2"/>
      </rPr>
      <t>2464</t>
    </r>
    <r>
      <rPr>
        <sz val="10"/>
        <color theme="1"/>
        <rFont val="Arial"/>
        <family val="2"/>
      </rPr>
      <t xml:space="preserve"> (</t>
    </r>
    <r>
      <rPr>
        <sz val="10"/>
        <color theme="1"/>
        <rFont val="Arial"/>
        <family val="2"/>
      </rPr>
      <t>43</t>
    </r>
    <r>
      <rPr>
        <sz val="10"/>
        <color theme="1"/>
        <rFont val="Arial"/>
        <family val="2"/>
      </rPr>
      <t>%)</t>
    </r>
  </si>
  <si>
    <r>
      <rPr>
        <sz val="10"/>
        <color theme="1"/>
        <rFont val="Arial"/>
        <family val="2"/>
      </rPr>
      <t>188</t>
    </r>
    <r>
      <rPr>
        <sz val="10"/>
        <color theme="1"/>
        <rFont val="Arial"/>
        <family val="2"/>
      </rPr>
      <t xml:space="preserve"> (</t>
    </r>
    <r>
      <rPr>
        <sz val="10"/>
        <color theme="1"/>
        <rFont val="Arial"/>
        <family val="2"/>
      </rPr>
      <t>13</t>
    </r>
    <r>
      <rPr>
        <sz val="10"/>
        <color theme="1"/>
        <rFont val="Arial"/>
        <family val="2"/>
      </rPr>
      <t>%)</t>
    </r>
  </si>
  <si>
    <r>
      <rPr>
        <sz val="10"/>
        <color theme="1"/>
        <rFont val="Arial"/>
        <family val="2"/>
      </rPr>
      <t>1152</t>
    </r>
    <r>
      <rPr>
        <sz val="10"/>
        <color theme="1"/>
        <rFont val="Arial"/>
        <family val="2"/>
      </rPr>
      <t xml:space="preserve"> (</t>
    </r>
    <r>
      <rPr>
        <sz val="10"/>
        <color theme="1"/>
        <rFont val="Arial"/>
        <family val="2"/>
      </rPr>
      <t>77</t>
    </r>
    <r>
      <rPr>
        <sz val="10"/>
        <color theme="1"/>
        <rFont val="Arial"/>
        <family val="2"/>
      </rPr>
      <t>%)</t>
    </r>
  </si>
  <si>
    <r>
      <rPr>
        <sz val="10"/>
        <color theme="1"/>
        <rFont val="Arial"/>
        <family val="2"/>
      </rPr>
      <t>1340</t>
    </r>
    <r>
      <rPr>
        <sz val="10"/>
        <color theme="1"/>
        <rFont val="Arial"/>
        <family val="2"/>
      </rPr>
      <t xml:space="preserve"> (</t>
    </r>
    <r>
      <rPr>
        <sz val="10"/>
        <color theme="1"/>
        <rFont val="Arial"/>
        <family val="2"/>
      </rPr>
      <t>90</t>
    </r>
    <r>
      <rPr>
        <sz val="10"/>
        <color theme="1"/>
        <rFont val="Arial"/>
        <family val="2"/>
      </rPr>
      <t>%)</t>
    </r>
  </si>
  <si>
    <r>
      <rPr>
        <sz val="10"/>
        <color theme="1"/>
        <rFont val="Arial"/>
        <family val="2"/>
      </rPr>
      <t>327</t>
    </r>
    <r>
      <rPr>
        <sz val="10"/>
        <color theme="1"/>
        <rFont val="Arial"/>
        <family val="2"/>
      </rPr>
      <t xml:space="preserve"> (</t>
    </r>
    <r>
      <rPr>
        <sz val="10"/>
        <color theme="1"/>
        <rFont val="Arial"/>
        <family val="2"/>
      </rPr>
      <t>33</t>
    </r>
    <r>
      <rPr>
        <sz val="10"/>
        <color theme="1"/>
        <rFont val="Arial"/>
        <family val="2"/>
      </rPr>
      <t>%)</t>
    </r>
  </si>
  <si>
    <r>
      <rPr>
        <sz val="10"/>
        <color theme="1"/>
        <rFont val="Arial"/>
        <family val="2"/>
      </rPr>
      <t>567</t>
    </r>
    <r>
      <rPr>
        <sz val="10"/>
        <color theme="1"/>
        <rFont val="Arial"/>
        <family val="2"/>
      </rPr>
      <t xml:space="preserve"> (</t>
    </r>
    <r>
      <rPr>
        <sz val="10"/>
        <color theme="1"/>
        <rFont val="Arial"/>
        <family val="2"/>
      </rPr>
      <t>57</t>
    </r>
    <r>
      <rPr>
        <sz val="10"/>
        <color theme="1"/>
        <rFont val="Arial"/>
        <family val="2"/>
      </rPr>
      <t>%)</t>
    </r>
  </si>
  <si>
    <r>
      <rPr>
        <sz val="10"/>
        <color theme="1"/>
        <rFont val="Arial"/>
        <family val="2"/>
      </rPr>
      <t>894</t>
    </r>
    <r>
      <rPr>
        <sz val="10"/>
        <color theme="1"/>
        <rFont val="Arial"/>
        <family val="2"/>
      </rPr>
      <t xml:space="preserve"> (</t>
    </r>
    <r>
      <rPr>
        <sz val="10"/>
        <color theme="1"/>
        <rFont val="Arial"/>
        <family val="2"/>
      </rPr>
      <t>89</t>
    </r>
    <r>
      <rPr>
        <sz val="10"/>
        <color theme="1"/>
        <rFont val="Arial"/>
        <family val="2"/>
      </rPr>
      <t>%)</t>
    </r>
  </si>
  <si>
    <t>Kano 14/15 MALE_SPECIAL_NEEDS</t>
  </si>
  <si>
    <t>Enugu 14/15 MALE_SPECIAL_NEEDS</t>
  </si>
  <si>
    <t>Kaduna 14/15 MALE_SPECIAL_NEEDS</t>
  </si>
  <si>
    <t>Kwara 14/15 MALE_SPECIAL_NEEDS</t>
  </si>
  <si>
    <t>Row Labels</t>
  </si>
  <si>
    <t>Primary 1</t>
  </si>
  <si>
    <t>Primary 3</t>
  </si>
  <si>
    <t>Primary 5</t>
  </si>
  <si>
    <t>Primary 6</t>
  </si>
  <si>
    <t>Lagos 14/15 MALE_SPECIAL_NEEDS</t>
  </si>
  <si>
    <t xml:space="preserve">Primary 1                     </t>
  </si>
  <si>
    <t xml:space="preserve">Primary 2                     </t>
  </si>
  <si>
    <t xml:space="preserve">Primary 3                     </t>
  </si>
  <si>
    <t xml:space="preserve">Primary 4                     </t>
  </si>
  <si>
    <t xml:space="preserve">Primary 5                     </t>
  </si>
  <si>
    <t xml:space="preserve">Primary 6                     </t>
  </si>
  <si>
    <t>Jigawa 13/14 MALE_SPECIAL_NEEDS</t>
  </si>
  <si>
    <t>Blind / visually impaired</t>
  </si>
  <si>
    <t>Mentally</t>
  </si>
  <si>
    <t>Physically</t>
  </si>
  <si>
    <t>Kano 14/15 FEMALE_SPECIAL_NEEDS</t>
  </si>
  <si>
    <t>Enugu 14/15 FEMALE_SPECIAL_NEEDS</t>
  </si>
  <si>
    <t>Kaduna 14/15 FEMALE_SPECIAL_NEEDS</t>
  </si>
  <si>
    <t>Kwara 14/15 FEMALE_SPECIAL_NEEDS</t>
  </si>
  <si>
    <t>Lagos 14/15 FEMALE_SPECIAL_NEEDS</t>
  </si>
  <si>
    <t>Jigawa 13/14 FEMALE_SPECIAL_NEEDS</t>
  </si>
  <si>
    <t xml:space="preserve">Blind /visually impaired </t>
  </si>
  <si>
    <t>Hearing / speech impaired</t>
  </si>
  <si>
    <t>Mentallly challenged</t>
  </si>
  <si>
    <t>Physically challenged</t>
  </si>
  <si>
    <t xml:space="preserve">Kano 14/15 Combined </t>
  </si>
  <si>
    <t xml:space="preserve">Enugu 14/15 Combined </t>
  </si>
  <si>
    <t>Class 1</t>
  </si>
  <si>
    <t>Class 2</t>
  </si>
  <si>
    <t>Class 3</t>
  </si>
  <si>
    <t>Class 4</t>
  </si>
  <si>
    <t>Class 5</t>
  </si>
  <si>
    <t>Class 6</t>
  </si>
  <si>
    <t>Lagos 14/15 TOTAL_SPECIAL_NEEDS</t>
  </si>
  <si>
    <t xml:space="preserve">Kaduna 14/15 Combined </t>
  </si>
  <si>
    <t xml:space="preserve">Kwara 14/15 Combined </t>
  </si>
  <si>
    <t xml:space="preserve">Jigawa 13/14 Combined </t>
  </si>
  <si>
    <t>Kano 13/14 MALE_SPECIAL_NEEDS</t>
  </si>
  <si>
    <t>Pry 1</t>
  </si>
  <si>
    <t>Pry 2</t>
  </si>
  <si>
    <t>Pry 3</t>
  </si>
  <si>
    <t>Pry 4</t>
  </si>
  <si>
    <t>Pry 5</t>
  </si>
  <si>
    <t>Pry 6</t>
  </si>
  <si>
    <t>Enugu 13/14 MALE_SPECIAL_NEEDS</t>
  </si>
  <si>
    <t>Lagos 13/14 MALE_SPECIAL_NEEDS</t>
  </si>
  <si>
    <t>Kaduna 13/14 MALE_SPECIAL_NEEDS</t>
  </si>
  <si>
    <t>Kwara 13/14 MALE_SPECIAL_NEEDS</t>
  </si>
  <si>
    <t>Kano 13/14 FEMALE_SPECIAL_NEEDS</t>
  </si>
  <si>
    <t>Enugu 13/14 FEMALE_SPECIAL_NEEDS</t>
  </si>
  <si>
    <t>Lagos 13/14 FEMALE_SPECIAL_NEEDS</t>
  </si>
  <si>
    <t>Kaduna 13/14 FEMALE_SPECIAL_NEEDS</t>
  </si>
  <si>
    <t>Kwara 13/14 FEMALE_SPECIAL_NEEDS</t>
  </si>
  <si>
    <t xml:space="preserve">Kano 13/14 Combined </t>
  </si>
  <si>
    <t xml:space="preserve">Enugu 13/14 Combined </t>
  </si>
  <si>
    <t xml:space="preserve">Lagos 13/14 Combined </t>
  </si>
  <si>
    <t xml:space="preserve">Kaduna 13/14 Combined </t>
  </si>
  <si>
    <t xml:space="preserve">Kwara 13/14 Combined </t>
  </si>
  <si>
    <t>ADDITIONAL CHILDREN IN 14/15 (-ve Decrease)</t>
  </si>
  <si>
    <t>No Males Completing</t>
  </si>
  <si>
    <t>No Female Completing</t>
  </si>
  <si>
    <t>Pry 6 Male Enrolment</t>
  </si>
  <si>
    <t>Pry 6 Female Enrolment</t>
  </si>
  <si>
    <t>Total Completion Rate</t>
  </si>
  <si>
    <t>Male Completion Rate</t>
  </si>
  <si>
    <t>Female Completion Rate</t>
  </si>
  <si>
    <t>Public Pry Schools</t>
  </si>
  <si>
    <t>Schools Reporting Completion</t>
  </si>
  <si>
    <t>Corrected No Males Completing</t>
  </si>
  <si>
    <t>Corrected No Female Completing</t>
  </si>
  <si>
    <t>Corrected Total Completion Rate</t>
  </si>
  <si>
    <t>Corrected Male Completion Rate</t>
  </si>
  <si>
    <t>Corrected Female Completion Rate</t>
  </si>
  <si>
    <t>All ESSPIN</t>
  </si>
  <si>
    <t>Zamfara</t>
  </si>
  <si>
    <t>Katsina</t>
  </si>
  <si>
    <t>2013 ASC Completion Rates</t>
  </si>
  <si>
    <t>Targets revised for 2016</t>
  </si>
  <si>
    <t>Some targets were overachieved in 2015 and so new ones were set.</t>
  </si>
  <si>
    <t>Output Indicator 4.2</t>
  </si>
  <si>
    <t>Sheet 14</t>
  </si>
  <si>
    <t>Updated Output 4 targets and rationale sheet added</t>
  </si>
  <si>
    <t>The updated sheet explains the rationale for the changes made to the O4 2016 targets</t>
  </si>
  <si>
    <t>Outcome indicator 2a</t>
  </si>
  <si>
    <t>Actuals by state 2015</t>
  </si>
  <si>
    <t>Targets by state 2016 (reset based on 2015 results)</t>
  </si>
  <si>
    <t>Targets by state 2016 (set based on 2014 results and exceeded in 2015)</t>
  </si>
  <si>
    <t>SBMC TARGETS and REVISED INDICATORS 2015-16</t>
  </si>
  <si>
    <t>SBMC Targets 2015 and 2016</t>
  </si>
  <si>
    <t>OVERALL INDICATOR</t>
  </si>
  <si>
    <t>REVISED LOGFRAME INDICATORS</t>
  </si>
  <si>
    <t>Totals All States</t>
  </si>
  <si>
    <t xml:space="preserve">Capability of communities and civil society to articulate demand for inclusive, quality basic education services </t>
  </si>
  <si>
    <t xml:space="preserve">No. of public primary schools with functioning SBMCs </t>
  </si>
  <si>
    <t>No of SBMCs in public primary schools with women and children participating in school improvement</t>
  </si>
  <si>
    <t>Number of SBMCs supporting Inclusive Education</t>
  </si>
  <si>
    <t>Quality of CSO Action for Quality, Inclusive Education</t>
  </si>
  <si>
    <t>State Level Targets</t>
  </si>
  <si>
    <r>
      <rPr>
        <b/>
        <sz val="10"/>
        <color theme="1"/>
        <rFont val="Calibri"/>
        <family val="2"/>
        <scheme val="minor"/>
      </rPr>
      <t>Thoughts at initial development of Kwara Targets in 2014</t>
    </r>
    <r>
      <rPr>
        <sz val="10"/>
        <color theme="1"/>
        <rFont val="Calibri"/>
        <family val="2"/>
        <scheme val="minor"/>
      </rPr>
      <t xml:space="preserve">: At initial target development Kwara was progressing gradually with a steady stream of SBMCs appearing in the 'advanced' category by year.  Using past data and experience of the funding situation in Kwara State, the targets appeared reasonable.   </t>
    </r>
    <r>
      <rPr>
        <b/>
        <sz val="10"/>
        <color theme="1"/>
        <rFont val="Calibri"/>
        <family val="2"/>
        <scheme val="minor"/>
      </rPr>
      <t>Thoughts at Feb 2016:</t>
    </r>
    <r>
      <rPr>
        <sz val="10"/>
        <color theme="1"/>
        <rFont val="Calibri"/>
        <family val="2"/>
        <scheme val="minor"/>
      </rPr>
      <t xml:space="preserve">  Kwara did not meet 2015 targets and therefore did not exceed 2016 targets as did Jigawa and Enugu.  This was due to an issue of proper collection of the data at March 2015 which impacted on the July data submitted to the AR.  Kwara is therefore not eligible to adjust it's 2016 targets.  They remain the same as developed initially.  For Kwara to meet the 2016 targets, the assumption is that the state will release funding for the mentoring and monitoring of new schools added (supported by ESSPIN and State) to reach all 1,485 schools in the state.  Without this it will be a challenge for Kwara to meet the 2016 targets which add approximately 95-100 SBMCs into 'advanced' category.</t>
    </r>
  </si>
  <si>
    <r>
      <rPr>
        <b/>
        <sz val="10"/>
        <color theme="1"/>
        <rFont val="Calibri"/>
        <family val="2"/>
        <scheme val="minor"/>
      </rPr>
      <t xml:space="preserve">Thoughts at initial development of Enugu Targets in 2014: </t>
    </r>
    <r>
      <rPr>
        <sz val="10"/>
        <color theme="1"/>
        <rFont val="Calibri"/>
        <family val="2"/>
        <scheme val="minor"/>
      </rPr>
      <t xml:space="preserve"> Thought that the remaining schools in Enugu State (727) might be added in 2014/15 according to promise of SUBEB Chair, but post election this is looking much less likely.  Therefore have removed these schools and added only 100 by 2016 which govt have already planned for.  Targets for Enugu in 2015 assume 90% of 121 pilot schools in advanced and 50% of 405 schools which are now in the mentoring and monitoring stage of development.  In 2016 assume 93% of 121 and 60% of 405 in advanced.  </t>
    </r>
    <r>
      <rPr>
        <b/>
        <sz val="10"/>
        <color theme="1"/>
        <rFont val="Calibri"/>
        <family val="2"/>
        <scheme val="minor"/>
      </rPr>
      <t xml:space="preserve">Thoughts at Feb 2016 as Enugu exceeded its 2016 targets in 2015:  </t>
    </r>
    <r>
      <rPr>
        <sz val="10"/>
        <color theme="1"/>
        <rFont val="Calibri"/>
        <family val="2"/>
        <scheme val="minor"/>
      </rPr>
      <t>86% of the 526 Enugu SBMCs achieved 'advanced' effectiveness in July 2015.  With the state already providing the funding for the 405 rollout and this committed to mentoring visit 10, Enugu is well placed to add more schools to advanced effective category.  Therefore adding more schools at advanced level.  Also following discussions in ESSPIN it was agreed that ESSPIN would provide partial support (community entry, TOT 1 and TOT 2) to reach the remaining 627 schools in the state with the state expected to resource the mentoring and monitoring.</t>
    </r>
  </si>
  <si>
    <r>
      <rPr>
        <b/>
        <sz val="10"/>
        <color theme="1"/>
        <rFont val="Calibri"/>
        <family val="2"/>
        <scheme val="minor"/>
      </rPr>
      <t>Thoughts at initial target development in 2014</t>
    </r>
    <r>
      <rPr>
        <sz val="10"/>
        <color theme="1"/>
        <rFont val="Calibri"/>
        <family val="2"/>
        <scheme val="minor"/>
      </rPr>
      <t xml:space="preserve">:  We are working in all schools of Lagos State (1,007).  In 2013-14 Lagos completely restructured its SBMC model which was like starting over.  However the new SBMCs became functional quickly hence quite high actual results in July 14.  With no additional schools being added, the Lagos targets can only improve as more 'basic' schools move into the advanced category.  Figures cautious as already attained a high percentage of functionality, so less space for improvement plus Lagos State funds not released, plus consolidation work delayed by 6 months.  </t>
    </r>
    <r>
      <rPr>
        <b/>
        <sz val="10"/>
        <color theme="1"/>
        <rFont val="Calibri"/>
        <family val="2"/>
        <scheme val="minor"/>
      </rPr>
      <t>Thoughts at Feb 2016:</t>
    </r>
    <r>
      <rPr>
        <sz val="10"/>
        <color theme="1"/>
        <rFont val="Calibri"/>
        <family val="2"/>
        <scheme val="minor"/>
      </rPr>
      <t xml:space="preserve">  Lagos met the 2016 target on SBMC functionality only in July 2015 and therefore have adjusted the 2016 target only for this indicator.</t>
    </r>
  </si>
  <si>
    <r>
      <rPr>
        <b/>
        <sz val="10"/>
        <color theme="1"/>
        <rFont val="Calibri"/>
        <family val="2"/>
        <scheme val="minor"/>
      </rPr>
      <t>Thoughts at initial target development in 2014:</t>
    </r>
    <r>
      <rPr>
        <sz val="10"/>
        <color theme="1"/>
        <rFont val="Calibri"/>
        <family val="2"/>
        <scheme val="minor"/>
      </rPr>
      <t xml:space="preserve">  In 2015 targets assuming that none of the new 4,505 schools will appear in advanced category as they unlikely to reach mentoring/monitoring stage of the process.  They begin to appear in 2016.  This also because govt committed funds for the 2nd SBMC training prior to mentoring was used by the state for other things (discussions on going with ESSPIN Kano).  So for 2015 only SBMCs of the 576 moving a little from basic to advanced (because of late start of implementation, due diligence, election).  GPE implementation could have an impact in Kano by 2016 but not certain enough at this point to increase targets.  </t>
    </r>
    <r>
      <rPr>
        <b/>
        <sz val="10"/>
        <color theme="1"/>
        <rFont val="Calibri"/>
        <family val="2"/>
        <scheme val="minor"/>
      </rPr>
      <t xml:space="preserve">Thoughts at Feb 2016: </t>
    </r>
    <r>
      <rPr>
        <sz val="10"/>
        <color theme="1"/>
        <rFont val="Calibri"/>
        <family val="2"/>
        <scheme val="minor"/>
      </rPr>
      <t xml:space="preserve"> Kano narrowly missed targets on SBMC functionality and SBMCs supporting IE in 2015 but met the women and children's 2015 target.  Targets for Kano therefore remain the same at Feb 2016 and the issue of budget release to conduct mentoring and monitoring in 4,505 schools remains an issue.  Meeting 2016 targets for Kano assumes funding release to mentor/monitor all or at least some of the 4,505 schools.</t>
    </r>
  </si>
  <si>
    <r>
      <rPr>
        <b/>
        <sz val="10"/>
        <color theme="1"/>
        <rFont val="Calibri"/>
        <family val="2"/>
        <scheme val="minor"/>
      </rPr>
      <t>Thoughts at initial target development in 2014</t>
    </r>
    <r>
      <rPr>
        <sz val="10"/>
        <color theme="1"/>
        <rFont val="Calibri"/>
        <family val="2"/>
        <scheme val="minor"/>
      </rPr>
      <t xml:space="preserve">:  initial pilot 165 plus phase 1 rollout 480 received most investement plus 1,150 SBMCs now reached mentoring stage so beginning to appear in advanced.  In Kaduna data trends showed that the 480 schools progressed more quickly than the pilot 165, possibly due to multiplier effect of nearby schools replicating the intervention, therefore assuming the 1,1,50 may also progress fast (according to state teams).  2016 targets assume the addition of 1,131 schools planned by KadSG.  Possiblility of all schools being added through GPE.  </t>
    </r>
    <r>
      <rPr>
        <b/>
        <sz val="10"/>
        <color theme="1"/>
        <rFont val="Calibri"/>
        <family val="2"/>
        <scheme val="minor"/>
      </rPr>
      <t>Thoughts at Feb 2016</t>
    </r>
    <r>
      <rPr>
        <sz val="10"/>
        <color theme="1"/>
        <rFont val="Calibri"/>
        <family val="2"/>
        <scheme val="minor"/>
      </rPr>
      <t>: Kaduna did not exceed targets in 2015, so no change to 2016 targets.  Kaduna missed 2 targets in 2015 due to the issue of budget release to the 1,150 newly added schools by the state.  The 2016 targets for Kaduna are high and are based on the assumption that the state will release funds for continued mentoring and monitoring of the 1,150 schools and any added through the GPE.  The GPE does not look quite as positive as it did initially in relation to meeting Kaduna targets, but reality remains to be seen.</t>
    </r>
  </si>
  <si>
    <r>
      <rPr>
        <b/>
        <sz val="10"/>
        <color theme="1"/>
        <rFont val="Calibri"/>
        <family val="2"/>
        <scheme val="minor"/>
      </rPr>
      <t>Thoughts at initial target development in 2014</t>
    </r>
    <r>
      <rPr>
        <sz val="10"/>
        <color theme="1"/>
        <rFont val="Calibri"/>
        <family val="2"/>
        <scheme val="minor"/>
      </rPr>
      <t xml:space="preserve">:  2015 targets tricky as the original 501 schools (pilot 198 plus 303 rollout) were already over 95% functional (87% women and children) at July 2014.  So not much room for increases, and the new 501 only just starting to appear in advanced (5% only estimated).  2016 target assumes 15% of SBMCs enter advanced on functionality and 10% on women's and children's participation.  Trends show IE usually follows functionality scores.  </t>
    </r>
    <r>
      <rPr>
        <b/>
        <sz val="10"/>
        <color theme="1"/>
        <rFont val="Calibri"/>
        <family val="2"/>
        <scheme val="minor"/>
      </rPr>
      <t xml:space="preserve">Thoughts at Feb 2016:  </t>
    </r>
    <r>
      <rPr>
        <sz val="10"/>
        <color theme="1"/>
        <rFont val="Calibri"/>
        <family val="2"/>
        <scheme val="minor"/>
      </rPr>
      <t>Jigawa hugely exceeded even its 2016 targets because the state managed to push forward on the mentoring and monitoring of the new 501 schools and because many of those monitored achieved MET against indicators.  Jigawa targets for 2016 have therefore been revised although very conservatively - with only 10 more schools added to what was achieved in 2015 per indicator.  The reason for adding only 10 more schools is that the funding situation in the state has completely changed (economic downturn-oil prices reduced) and like other states is now a major challenge.  Collecting data in 2016 and providing continued support to SBMC development may be a challenge.</t>
    </r>
  </si>
  <si>
    <t>Output Indicator 3</t>
  </si>
  <si>
    <t xml:space="preserve"> targets revised where met in 2015</t>
  </si>
  <si>
    <t>Results added from NEDS 2015</t>
  </si>
  <si>
    <t>Not available by gender in 2015 state reports</t>
  </si>
  <si>
    <t>Impact Indicator 2a</t>
  </si>
  <si>
    <t>*</t>
  </si>
  <si>
    <t>845 (48%)</t>
  </si>
  <si>
    <t>1130 (53%)</t>
  </si>
  <si>
    <t>285 (16%)</t>
  </si>
  <si>
    <t>Targets reset based on achievements in 2015</t>
  </si>
  <si>
    <t>NEDS was published and so results were integrated where available</t>
  </si>
  <si>
    <t>667 (16%)</t>
  </si>
  <si>
    <t>1,098  (36%)</t>
  </si>
  <si>
    <t>1152 (77%)</t>
  </si>
  <si>
    <t>3318 (24%)</t>
  </si>
  <si>
    <t>2440 (18%)</t>
  </si>
  <si>
    <t>2428 (9%)</t>
  </si>
  <si>
    <t>8824 (17%)</t>
  </si>
  <si>
    <t>1189 (8%)</t>
  </si>
  <si>
    <t>8800 (61%)</t>
  </si>
  <si>
    <t>12,557 (9%)</t>
  </si>
  <si>
    <t>31406 (23%)</t>
  </si>
  <si>
    <t>213 (12%)</t>
  </si>
  <si>
    <t>1032 (59%)</t>
  </si>
  <si>
    <t>1245 (71%)</t>
  </si>
  <si>
    <t xml:space="preserve">D </t>
  </si>
  <si>
    <t>A [A]</t>
  </si>
  <si>
    <t>35,832 (14,618)</t>
  </si>
  <si>
    <t>16,232 (7,673)</t>
  </si>
  <si>
    <t>44,030 (44,030)</t>
  </si>
  <si>
    <t>96,094 (66,321)</t>
  </si>
  <si>
    <t>Outcome Indicator 2a Disability</t>
  </si>
  <si>
    <t>15/16 actuals ESSPIN LGAs</t>
  </si>
  <si>
    <t>15/16 actuals All LGAs (ESSPIN States)</t>
  </si>
  <si>
    <t>Target (2015/2016)</t>
  </si>
  <si>
    <t>4. Enrolment changes in ESSPIN Supported LGEAs 2013/14 - 2014/15 (Outcome indicator 1)</t>
  </si>
  <si>
    <r>
      <t>Cumulative Change in Enrolment by State and Gender based on ESSPIN Roll Out to All States (</t>
    </r>
    <r>
      <rPr>
        <b/>
        <sz val="11"/>
        <color theme="1"/>
        <rFont val="Calibri"/>
        <family val="2"/>
        <scheme val="minor"/>
      </rPr>
      <t>all LGAs</t>
    </r>
    <r>
      <rPr>
        <sz val="10"/>
        <rFont val="Arial"/>
        <charset val="204"/>
      </rPr>
      <t>) from 2013/14</t>
    </r>
  </si>
  <si>
    <t>4. Enrolment changes in ESSPIN States 2013/14 - 2014/5 (Output indicator 1)</t>
  </si>
  <si>
    <t>All LGAs in ESSPIN States</t>
  </si>
  <si>
    <t>Public</t>
  </si>
  <si>
    <t>Private</t>
  </si>
  <si>
    <t>2014/15</t>
  </si>
  <si>
    <t>2015/16</t>
  </si>
  <si>
    <t>14/15</t>
  </si>
  <si>
    <t>Table 3.3</t>
  </si>
  <si>
    <t>Table 3.7</t>
  </si>
  <si>
    <t>Tot Male</t>
  </si>
  <si>
    <t>Tot Fem</t>
  </si>
  <si>
    <t>Check Yellow</t>
  </si>
  <si>
    <t>Pre Male</t>
  </si>
  <si>
    <t>Pre Female</t>
  </si>
  <si>
    <t>Pry Male</t>
  </si>
  <si>
    <t>Pry Female</t>
  </si>
  <si>
    <t>Lagos *</t>
  </si>
  <si>
    <t>Actuals by state 2016</t>
  </si>
  <si>
    <t>2,017 (12%)</t>
  </si>
  <si>
    <t>4,470 (27%)</t>
  </si>
  <si>
    <t>6,487 (40%)</t>
  </si>
  <si>
    <t>97 (8%)</t>
  </si>
  <si>
    <t>559 (27%)</t>
  </si>
  <si>
    <t>355 (8%)</t>
  </si>
  <si>
    <t>709 (11%)</t>
  </si>
  <si>
    <t>285 (19%)</t>
  </si>
  <si>
    <t>335 (27%)</t>
  </si>
  <si>
    <t>652 (31%)</t>
  </si>
  <si>
    <t>621 (14%)</t>
  </si>
  <si>
    <t>1,269 (20%)</t>
  </si>
  <si>
    <t>845 (55%)</t>
  </si>
  <si>
    <t>748 (74%)</t>
  </si>
  <si>
    <t>432 (35%)</t>
  </si>
  <si>
    <t>1211 (58%)</t>
  </si>
  <si>
    <t>976 (23%)</t>
  </si>
  <si>
    <t>1,978 (32%)</t>
  </si>
  <si>
    <t>1,130 (74%)</t>
  </si>
  <si>
    <t>2,606 (16%)</t>
  </si>
  <si>
    <t>5,800 (35%)</t>
  </si>
  <si>
    <t>8,406 (51%)</t>
  </si>
  <si>
    <t>420 (34%)</t>
  </si>
  <si>
    <t>550 (26%)</t>
  </si>
  <si>
    <t>205 (5%)</t>
  </si>
  <si>
    <t>1,120 (18%)</t>
  </si>
  <si>
    <t>188 (12%)</t>
  </si>
  <si>
    <t>123 (12%)</t>
  </si>
  <si>
    <t>491 (40%)</t>
  </si>
  <si>
    <t>730 (35%)</t>
  </si>
  <si>
    <t>848 (20%)</t>
  </si>
  <si>
    <t>1,761 (28%)</t>
  </si>
  <si>
    <t>1,152 (75%)</t>
  </si>
  <si>
    <t>818 (81%)</t>
  </si>
  <si>
    <t>911 (74%)</t>
  </si>
  <si>
    <t>1,280 (62%)</t>
  </si>
  <si>
    <t>1,053 (25%)</t>
  </si>
  <si>
    <t>2,881 (46%)</t>
  </si>
  <si>
    <t>1,340 (87%)</t>
  </si>
  <si>
    <t>941 (93%)</t>
  </si>
  <si>
    <t>23,134 (18%)</t>
  </si>
  <si>
    <t>46,631 (37%)</t>
  </si>
  <si>
    <t>69,765 (55%)</t>
  </si>
  <si>
    <t>2,502 (24%)</t>
  </si>
  <si>
    <t>4,026 (32%)</t>
  </si>
  <si>
    <t>4,363 (13%)</t>
  </si>
  <si>
    <t>8,646 (19%)</t>
  </si>
  <si>
    <t>2,051 (16%)</t>
  </si>
  <si>
    <t>1,546 (15%)</t>
  </si>
  <si>
    <t>3,776 (36%)</t>
  </si>
  <si>
    <t>3,645 (29%)</t>
  </si>
  <si>
    <t>11,768 (35%)</t>
  </si>
  <si>
    <t>12,389 (27%)</t>
  </si>
  <si>
    <t>8,800 (69%)</t>
  </si>
  <si>
    <t>6,253 (59%)</t>
  </si>
  <si>
    <t>6,278 (60%)</t>
  </si>
  <si>
    <t>7,671 (62%)</t>
  </si>
  <si>
    <t>16,131 (47%)</t>
  </si>
  <si>
    <t>21,035 (46%)</t>
  </si>
  <si>
    <t>10,851 (85%)</t>
  </si>
  <si>
    <t>7,799 (74%)</t>
  </si>
  <si>
    <t>2,075 (13%)</t>
  </si>
  <si>
    <t>5,645 (35%)</t>
  </si>
  <si>
    <t>7,720 (47%)</t>
  </si>
  <si>
    <t>372 (30%)</t>
  </si>
  <si>
    <t>186 (9%)</t>
  </si>
  <si>
    <t>95 (2%)</t>
  </si>
  <si>
    <t>1,065 (17%)</t>
  </si>
  <si>
    <t>213 (14%)</t>
  </si>
  <si>
    <t>144 (14%)</t>
  </si>
  <si>
    <t>436 (36%)</t>
  </si>
  <si>
    <t>966 (47%)</t>
  </si>
  <si>
    <t>1,603 (26%)</t>
  </si>
  <si>
    <t>1,032 (67%)</t>
  </si>
  <si>
    <t>760 (75%)</t>
  </si>
  <si>
    <t>808 (66%)</t>
  </si>
  <si>
    <t>1,152 (55%)</t>
  </si>
  <si>
    <t>943 (22%)</t>
  </si>
  <si>
    <t>2,668 (43%)</t>
  </si>
  <si>
    <t>1,245 (81%)</t>
  </si>
  <si>
    <t>904 (89%)</t>
  </si>
  <si>
    <t>2.6% (22,284)</t>
  </si>
  <si>
    <t>2.2% (9,843)</t>
  </si>
  <si>
    <t>3.0% (12,403)</t>
  </si>
  <si>
    <t>2.9% (24,890)</t>
  </si>
  <si>
    <t>3.1% (13,692)</t>
  </si>
  <si>
    <t>2.6% (11,069)</t>
  </si>
  <si>
    <t>2.7% (27,856)</t>
  </si>
  <si>
    <t>2.5% (13,303)</t>
  </si>
  <si>
    <t>3.0% (14,701)</t>
  </si>
  <si>
    <t>5.3% (53,786)</t>
  </si>
  <si>
    <t>4.9% (25,823)</t>
  </si>
  <si>
    <t>5.7% (28,074)</t>
  </si>
  <si>
    <t>5.7% (856)</t>
  </si>
  <si>
    <t>0.1% (66)</t>
  </si>
  <si>
    <t>0.4% (435)</t>
  </si>
  <si>
    <t>0.1% (151)</t>
  </si>
  <si>
    <t>0.2% (36)</t>
  </si>
  <si>
    <t>25.6% (9,344)</t>
  </si>
  <si>
    <t>14.2% (2,029)</t>
  </si>
  <si>
    <t>0.0% (0)</t>
  </si>
  <si>
    <t>0.7% (608)</t>
  </si>
  <si>
    <t>0.2% (548)</t>
  </si>
  <si>
    <t>1.2% (186)</t>
  </si>
  <si>
    <t>28.3% (10,614)</t>
  </si>
  <si>
    <t>9.9% (2,907)</t>
  </si>
  <si>
    <t>0.6% (1,084)</t>
  </si>
  <si>
    <t>0.2% (684)</t>
  </si>
  <si>
    <t>0.6% (204)</t>
  </si>
  <si>
    <t>27.0% (19,939)</t>
  </si>
  <si>
    <t>4.5% (686)</t>
  </si>
  <si>
    <t>0.8% (483)</t>
  </si>
  <si>
    <t>6.5% (6,336)</t>
  </si>
  <si>
    <t>0.2% (472)</t>
  </si>
  <si>
    <t>3.9% (698)</t>
  </si>
  <si>
    <t>20.7% (7,540)</t>
  </si>
  <si>
    <t>3.5% (499)</t>
  </si>
  <si>
    <t>1.6% (734)</t>
  </si>
  <si>
    <t>0.4% (371)</t>
  </si>
  <si>
    <t>0.1% (265)</t>
  </si>
  <si>
    <t>5.8% (906)</t>
  </si>
  <si>
    <t>21.3% (7,985)</t>
  </si>
  <si>
    <t>4.1% (1,195)</t>
  </si>
  <si>
    <t>1.2% (1,196)</t>
  </si>
  <si>
    <t>3.9% (7,227)</t>
  </si>
  <si>
    <t>0.2% (756)</t>
  </si>
  <si>
    <t>4.8% (1,609)</t>
  </si>
  <si>
    <t>21.0% (15,548)</t>
  </si>
  <si>
    <t>20.9% (2,972)</t>
  </si>
  <si>
    <t>0.6% (362)</t>
  </si>
  <si>
    <t>0.2% (330)</t>
  </si>
  <si>
    <t>0.2% (416)</t>
  </si>
  <si>
    <t>0.8% (153)</t>
  </si>
  <si>
    <t>33.8% (9,980)</t>
  </si>
  <si>
    <t>17.1% (2,337)</t>
  </si>
  <si>
    <t>0.6% (710)</t>
  </si>
  <si>
    <t>0.1% (286)</t>
  </si>
  <si>
    <t>2.6% (442)</t>
  </si>
  <si>
    <t>40.3% (12,149)</t>
  </si>
  <si>
    <t>19.2% (5,337)</t>
  </si>
  <si>
    <t>0.3% (351)</t>
  </si>
  <si>
    <t>0.4% (993)</t>
  </si>
  <si>
    <t>0.1% (710)</t>
  </si>
  <si>
    <t>1.7% (617)</t>
  </si>
  <si>
    <t>36.9% (22,011)</t>
  </si>
  <si>
    <t>11.7% (1,656)</t>
  </si>
  <si>
    <t>2.1% (1,381)</t>
  </si>
  <si>
    <t>2.9% (3,959)</t>
  </si>
  <si>
    <t>3.0% (7,857)</t>
  </si>
  <si>
    <t>5.6% (1,052)</t>
  </si>
  <si>
    <t>34.2% (10,097)</t>
  </si>
  <si>
    <t>14.7% (2,001)</t>
  </si>
  <si>
    <t>4.3% (2,041)</t>
  </si>
  <si>
    <t>11.8% (14,431)</t>
  </si>
  <si>
    <t>0.3% (788)</t>
  </si>
  <si>
    <t>3.7% (619)</t>
  </si>
  <si>
    <t>44.0% (13,249)</t>
  </si>
  <si>
    <t>13.2% (3,668)</t>
  </si>
  <si>
    <t>2.9% (3,248)</t>
  </si>
  <si>
    <t>6.9% (17,885)</t>
  </si>
  <si>
    <t>1.5% (8,188)</t>
  </si>
  <si>
    <t>4.7% (1,658)</t>
  </si>
  <si>
    <t>38.8% (23,154)</t>
  </si>
  <si>
    <t>3441 (20.1%)</t>
  </si>
  <si>
    <t>961 (5.6%)</t>
  </si>
  <si>
    <t>878 (39.5%)</t>
  </si>
  <si>
    <t>537 (26.2%)</t>
  </si>
  <si>
    <t>216 (5.1%)</t>
  </si>
  <si>
    <t>1,064 (17.4%)</t>
  </si>
  <si>
    <t>571 (37.7%)</t>
  </si>
  <si>
    <t>375 (36.9%)</t>
  </si>
  <si>
    <t>430 (19.4%)</t>
  </si>
  <si>
    <t>0 (0.0%)</t>
  </si>
  <si>
    <t>18 (0.4%)</t>
  </si>
  <si>
    <t>13 (0.2%)</t>
  </si>
  <si>
    <t>246 (16.2%)</t>
  </si>
  <si>
    <t>353 (34.8%)</t>
  </si>
  <si>
    <t>min SIP</t>
  </si>
  <si>
    <t>med/max SIP</t>
  </si>
  <si>
    <t>Disbursement rate of UBE Intervention Funds funds for basic education (3-year rolling) for programme states compared to non-programme states</t>
  </si>
  <si>
    <t>4185 (27%)</t>
  </si>
  <si>
    <t>Results added for 2015/16 from SSO, SMO reports, CS3 and self-assessments</t>
  </si>
  <si>
    <r>
      <t>Cumulative number of additional children in public primary school in focus LGEAs disaggregated by gender, and</t>
    </r>
    <r>
      <rPr>
        <b/>
        <sz val="10"/>
        <rFont val="Arial"/>
        <family val="2"/>
      </rPr>
      <t xml:space="preserve"> disability </t>
    </r>
    <r>
      <rPr>
        <sz val="10"/>
        <rFont val="Arial"/>
        <family val="2"/>
      </rPr>
      <t xml:space="preserve">(OP Headline Indicator 1) </t>
    </r>
    <r>
      <rPr>
        <sz val="10"/>
        <rFont val="Arial"/>
        <family val="2"/>
      </rPr>
      <t xml:space="preserve">
</t>
    </r>
  </si>
  <si>
    <r>
      <t xml:space="preserve">Cumulative number of additional children in public primary school in focus LGEAs disaggregated by </t>
    </r>
    <r>
      <rPr>
        <b/>
        <sz val="10"/>
        <rFont val="Arial"/>
        <family val="2"/>
      </rPr>
      <t>gender</t>
    </r>
    <r>
      <rPr>
        <sz val="10"/>
        <rFont val="Arial"/>
        <family val="2"/>
      </rPr>
      <t>, and</t>
    </r>
    <r>
      <rPr>
        <b/>
        <sz val="10"/>
        <rFont val="Arial"/>
        <family val="2"/>
      </rPr>
      <t xml:space="preserve"> </t>
    </r>
    <r>
      <rPr>
        <sz val="10"/>
        <rFont val="Arial"/>
        <family val="2"/>
      </rPr>
      <t xml:space="preserve">disability (OP Headline Indicator 1) </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</si>
</sst>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 ;\-#,##0\ "/>
    <numFmt numFmtId="165" formatCode="_-* #,##0_-;\-* #,##0_-;_-* &quot;-&quot;??_-;_-@_-"/>
    <numFmt numFmtId="166" formatCode="0.0%"/>
    <numFmt numFmtId="167" formatCode="_-* #,##0.000_-;\-* #,##0.000_-;_-* &quot;-&quot;???_-;_-@_-"/>
    <numFmt numFmtId="168" formatCode="0.0"/>
    <numFmt numFmtId="169" formatCode="_-* #,##0.00\ _€_-;\-* #,##0.00\ _€_-;_-* &quot;-&quot;??\ _€_-;_-@_-"/>
    <numFmt numFmtId="170" formatCode="#,##0.0"/>
  </numFmts>
  <fonts count="73" x14ac:knownFonts="1">
    <font>
      <sz val="10"/>
      <name val="Arial"/>
      <charset val="204"/>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2"/>
      <color theme="1"/>
      <name val="Calibri"/>
      <family val="2"/>
      <scheme val="minor"/>
    </font>
    <font>
      <sz val="12"/>
      <color theme="1"/>
      <name val="Calibri"/>
      <family val="2"/>
      <scheme val="minor"/>
    </font>
    <font>
      <sz val="10"/>
      <color theme="1"/>
      <name val="Arial"/>
      <family val="2"/>
    </font>
    <font>
      <sz val="12"/>
      <color theme="1"/>
      <name val="Calibri"/>
      <family val="2"/>
      <scheme val="minor"/>
    </font>
    <font>
      <sz val="10"/>
      <name val="Arial"/>
      <family val="2"/>
    </font>
    <font>
      <b/>
      <sz val="9"/>
      <name val="Arial"/>
      <family val="2"/>
      <charset val="204"/>
    </font>
    <font>
      <sz val="10"/>
      <color indexed="8"/>
      <name val="Arial"/>
      <family val="2"/>
    </font>
    <font>
      <sz val="9"/>
      <color indexed="8"/>
      <name val="Arial"/>
      <family val="2"/>
      <charset val="204"/>
    </font>
    <font>
      <sz val="9"/>
      <name val="Arial"/>
      <family val="2"/>
      <charset val="204"/>
    </font>
    <font>
      <sz val="11"/>
      <color indexed="8"/>
      <name val="Calibri"/>
      <family val="2"/>
    </font>
    <font>
      <b/>
      <sz val="10"/>
      <name val="Arial"/>
      <family val="2"/>
    </font>
    <font>
      <sz val="11"/>
      <color theme="1"/>
      <name val="Calibri"/>
      <family val="2"/>
      <scheme val="minor"/>
    </font>
    <font>
      <vertAlign val="superscript"/>
      <sz val="12"/>
      <name val="Arial"/>
      <family val="2"/>
    </font>
    <font>
      <u/>
      <sz val="10"/>
      <color theme="10"/>
      <name val="Arial"/>
      <family val="2"/>
    </font>
    <font>
      <u/>
      <sz val="10"/>
      <color theme="11"/>
      <name val="Arial"/>
      <family val="2"/>
    </font>
    <font>
      <b/>
      <sz val="10"/>
      <color indexed="8"/>
      <name val="Arial"/>
      <family val="2"/>
    </font>
    <font>
      <u/>
      <sz val="10"/>
      <name val="Arial"/>
      <family val="2"/>
    </font>
    <font>
      <sz val="10"/>
      <name val="Arial"/>
      <family val="2"/>
    </font>
    <font>
      <sz val="10"/>
      <color rgb="FFFF0000"/>
      <name val="Arial"/>
      <family val="2"/>
    </font>
    <font>
      <b/>
      <sz val="10"/>
      <color theme="1"/>
      <name val="Arial"/>
      <family val="2"/>
    </font>
    <font>
      <b/>
      <sz val="12"/>
      <color theme="1"/>
      <name val="Calibri"/>
      <family val="2"/>
      <scheme val="minor"/>
    </font>
    <font>
      <b/>
      <sz val="12"/>
      <color theme="1"/>
      <name val="Calibri"/>
      <family val="2"/>
      <charset val="204"/>
      <scheme val="minor"/>
    </font>
    <font>
      <b/>
      <i/>
      <sz val="12"/>
      <color theme="1"/>
      <name val="Calibri"/>
      <family val="2"/>
      <scheme val="minor"/>
    </font>
    <font>
      <i/>
      <sz val="12"/>
      <color theme="1"/>
      <name val="Calibri"/>
      <family val="2"/>
      <scheme val="minor"/>
    </font>
    <font>
      <sz val="12"/>
      <color theme="1"/>
      <name val="Calibri"/>
      <family val="2"/>
      <scheme val="minor"/>
    </font>
    <font>
      <b/>
      <sz val="9"/>
      <color indexed="81"/>
      <name val="Calibri"/>
      <family val="2"/>
    </font>
    <font>
      <sz val="9"/>
      <color indexed="81"/>
      <name val="Calibri"/>
      <family val="2"/>
    </font>
    <font>
      <sz val="9"/>
      <name val="Calibri"/>
      <family val="2"/>
      <scheme val="minor"/>
    </font>
    <font>
      <b/>
      <sz val="9"/>
      <color indexed="81"/>
      <name val="Tahoma"/>
      <family val="2"/>
    </font>
    <font>
      <sz val="9"/>
      <color indexed="81"/>
      <name val="Tahoma"/>
      <family val="2"/>
    </font>
    <font>
      <b/>
      <sz val="11"/>
      <color theme="1"/>
      <name val="Calibri"/>
      <family val="2"/>
      <scheme val="minor"/>
    </font>
    <font>
      <sz val="9"/>
      <color theme="1"/>
      <name val="Calibri"/>
      <family val="2"/>
      <scheme val="minor"/>
    </font>
    <font>
      <i/>
      <sz val="11"/>
      <color theme="1"/>
      <name val="Calibri"/>
      <family val="2"/>
      <scheme val="minor"/>
    </font>
    <font>
      <sz val="8"/>
      <color theme="1"/>
      <name val="Calibri"/>
      <family val="2"/>
      <scheme val="minor"/>
    </font>
    <font>
      <b/>
      <sz val="14"/>
      <color theme="1"/>
      <name val="Calibri"/>
      <family val="2"/>
      <scheme val="minor"/>
    </font>
    <font>
      <sz val="11"/>
      <color rgb="FFFF0000"/>
      <name val="Calibri"/>
      <family val="2"/>
      <scheme val="minor"/>
    </font>
    <font>
      <b/>
      <i/>
      <sz val="11"/>
      <color theme="1"/>
      <name val="Calibri"/>
      <family val="2"/>
      <scheme val="minor"/>
    </font>
    <font>
      <i/>
      <sz val="10"/>
      <color theme="1"/>
      <name val="Arial"/>
      <family val="2"/>
    </font>
    <font>
      <b/>
      <sz val="10"/>
      <color theme="1"/>
      <name val="Calibri"/>
      <family val="2"/>
      <scheme val="minor"/>
    </font>
    <font>
      <sz val="10"/>
      <color theme="1"/>
      <name val="Calibri"/>
      <family val="2"/>
      <scheme val="minor"/>
    </font>
    <font>
      <i/>
      <sz val="10"/>
      <color theme="1"/>
      <name val="Calibri"/>
      <family val="2"/>
      <scheme val="minor"/>
    </font>
    <font>
      <b/>
      <sz val="12"/>
      <color rgb="FF000000"/>
      <name val="Calibri"/>
      <family val="2"/>
    </font>
    <font>
      <sz val="12"/>
      <color rgb="FF000000"/>
      <name val="Calibri"/>
      <family val="2"/>
    </font>
    <font>
      <sz val="10"/>
      <name val="Times New Roman"/>
      <family val="1"/>
    </font>
    <font>
      <sz val="11"/>
      <name val="Calibri"/>
      <family val="2"/>
    </font>
    <font>
      <b/>
      <sz val="14"/>
      <color rgb="FF000000"/>
      <name val="Calibri"/>
      <family val="2"/>
    </font>
    <font>
      <b/>
      <sz val="11"/>
      <color rgb="FF000000"/>
      <name val="Calibri"/>
      <family val="2"/>
    </font>
    <font>
      <sz val="11"/>
      <color rgb="FF000000"/>
      <name val="Calibri"/>
      <family val="2"/>
    </font>
    <font>
      <sz val="11"/>
      <color rgb="FF1F497D"/>
      <name val="Calibri"/>
      <family val="2"/>
    </font>
    <font>
      <b/>
      <sz val="10"/>
      <color rgb="FFFF0000"/>
      <name val="Arial"/>
      <family val="2"/>
    </font>
    <font>
      <sz val="10"/>
      <color rgb="FF000000"/>
      <name val="Arial"/>
      <family val="2"/>
    </font>
    <font>
      <b/>
      <i/>
      <sz val="10"/>
      <name val="Arial"/>
      <family val="2"/>
    </font>
    <font>
      <sz val="10"/>
      <color rgb="FFFFFF00"/>
      <name val="Arial"/>
      <family val="2"/>
    </font>
    <font>
      <sz val="9"/>
      <name val="Arial"/>
      <family val="2"/>
    </font>
    <font>
      <b/>
      <sz val="9"/>
      <name val="Arial"/>
      <family val="2"/>
    </font>
    <font>
      <sz val="10"/>
      <color rgb="FF006100"/>
      <name val="Arial"/>
      <family val="2"/>
    </font>
    <font>
      <u/>
      <sz val="10"/>
      <color theme="1"/>
      <name val="Arial"/>
      <family val="2"/>
    </font>
    <font>
      <b/>
      <sz val="14"/>
      <name val="Arial"/>
      <family val="2"/>
    </font>
    <font>
      <b/>
      <sz val="12"/>
      <name val="Calibri"/>
      <family val="2"/>
      <scheme val="minor"/>
    </font>
    <font>
      <sz val="12"/>
      <name val="Calibri"/>
      <family val="2"/>
      <scheme val="minor"/>
    </font>
    <font>
      <b/>
      <sz val="10"/>
      <color rgb="FF000000"/>
      <name val="Arial"/>
      <family val="2"/>
    </font>
    <font>
      <sz val="10"/>
      <name val="MS Sans Serif"/>
      <family val="2"/>
    </font>
    <font>
      <b/>
      <sz val="16"/>
      <color theme="1"/>
      <name val="Calibri"/>
      <family val="2"/>
      <scheme val="minor"/>
    </font>
    <font>
      <sz val="10"/>
      <color rgb="FF000000"/>
      <name val="Calibri"/>
      <family val="2"/>
      <scheme val="minor"/>
    </font>
    <font>
      <b/>
      <sz val="12"/>
      <name val="Arial"/>
      <family val="2"/>
    </font>
    <font>
      <sz val="15"/>
      <name val="Arial"/>
      <family val="2"/>
    </font>
    <font>
      <i/>
      <sz val="11"/>
      <color rgb="FF000000"/>
      <name val="Calibri"/>
      <family val="2"/>
    </font>
    <font>
      <sz val="10"/>
      <name val="Arial"/>
      <charset val="204"/>
    </font>
  </fonts>
  <fills count="39">
    <fill>
      <patternFill patternType="none"/>
    </fill>
    <fill>
      <patternFill patternType="gray125"/>
    </fill>
    <fill>
      <patternFill patternType="solid">
        <fgColor indexed="22"/>
        <bgColor indexed="8"/>
      </patternFill>
    </fill>
    <fill>
      <patternFill patternType="solid">
        <fgColor indexed="44"/>
        <bgColor indexed="8"/>
      </patternFill>
    </fill>
    <fill>
      <patternFill patternType="solid">
        <fgColor indexed="42"/>
        <bgColor indexed="64"/>
      </patternFill>
    </fill>
    <fill>
      <patternFill patternType="solid">
        <fgColor indexed="43"/>
        <bgColor indexed="8"/>
      </patternFill>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55"/>
        <bgColor indexed="8"/>
      </patternFill>
    </fill>
    <fill>
      <patternFill patternType="solid">
        <fgColor indexed="42"/>
        <bgColor indexed="8"/>
      </patternFill>
    </fill>
    <fill>
      <patternFill patternType="solid">
        <fgColor rgb="FFFFFF66"/>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CFFCC"/>
        <bgColor rgb="FF000000"/>
      </patternFill>
    </fill>
    <fill>
      <patternFill patternType="solid">
        <fgColor theme="0" tint="-4.9989318521683403E-2"/>
        <bgColor indexed="64"/>
      </patternFill>
    </fill>
    <fill>
      <patternFill patternType="solid">
        <fgColor rgb="FF99FF99"/>
        <bgColor indexed="64"/>
      </patternFill>
    </fill>
    <fill>
      <patternFill patternType="solid">
        <fgColor rgb="FF00B0F0"/>
        <bgColor indexed="0"/>
      </patternFill>
    </fill>
    <fill>
      <patternFill patternType="solid">
        <fgColor theme="0" tint="-4.9989318521683403E-2"/>
        <bgColor indexed="0"/>
      </patternFill>
    </fill>
    <fill>
      <patternFill patternType="solid">
        <fgColor theme="0" tint="-0.14999847407452621"/>
        <bgColor indexed="0"/>
      </patternFill>
    </fill>
    <fill>
      <patternFill patternType="solid">
        <fgColor rgb="FFFFC000"/>
        <bgColor indexed="0"/>
      </patternFill>
    </fill>
    <fill>
      <patternFill patternType="solid">
        <fgColor rgb="FF92D050"/>
        <bgColor indexed="0"/>
      </patternFill>
    </fill>
    <fill>
      <patternFill patternType="solid">
        <fgColor rgb="FFFFFF00"/>
        <bgColor indexed="0"/>
      </patternFill>
    </fill>
    <fill>
      <patternFill patternType="solid">
        <fgColor theme="4" tint="0.59999389629810485"/>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6" tint="0.39997558519241921"/>
        <bgColor indexed="64"/>
      </patternFill>
    </fill>
    <fill>
      <patternFill patternType="solid">
        <fgColor rgb="FFC6EFCE"/>
      </patternFill>
    </fill>
    <fill>
      <patternFill patternType="solid">
        <fgColor theme="3" tint="0.59999389629810485"/>
        <bgColor indexed="64"/>
      </patternFill>
    </fill>
    <fill>
      <patternFill patternType="solid">
        <fgColor theme="1"/>
        <bgColor indexed="64"/>
      </patternFill>
    </fill>
    <fill>
      <patternFill patternType="solid">
        <fgColor theme="8" tint="0.59999389629810485"/>
        <bgColor indexed="64"/>
      </patternFill>
    </fill>
  </fills>
  <borders count="139">
    <border>
      <left/>
      <right/>
      <top/>
      <bottom/>
      <diagonal/>
    </border>
    <border>
      <left style="medium">
        <color auto="1"/>
      </left>
      <right style="medium">
        <color auto="1"/>
      </right>
      <top/>
      <bottom/>
      <diagonal/>
    </border>
    <border>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style="thin">
        <color auto="1"/>
      </left>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right/>
      <top style="thin">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ck">
        <color auto="1"/>
      </top>
      <bottom/>
      <diagonal/>
    </border>
    <border>
      <left/>
      <right/>
      <top style="thick">
        <color auto="1"/>
      </top>
      <bottom/>
      <diagonal/>
    </border>
    <border>
      <left style="thin">
        <color auto="1"/>
      </left>
      <right style="thin">
        <color auto="1"/>
      </right>
      <top style="thick">
        <color auto="1"/>
      </top>
      <bottom style="thin">
        <color auto="1"/>
      </bottom>
      <diagonal/>
    </border>
    <border>
      <left/>
      <right style="thick">
        <color auto="1"/>
      </right>
      <top style="thick">
        <color auto="1"/>
      </top>
      <bottom/>
      <diagonal/>
    </border>
    <border>
      <left style="thick">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bottom/>
      <diagonal/>
    </border>
    <border>
      <left style="thick">
        <color auto="1"/>
      </left>
      <right style="thin">
        <color auto="1"/>
      </right>
      <top/>
      <bottom/>
      <diagonal/>
    </border>
    <border>
      <left style="thin">
        <color auto="1"/>
      </left>
      <right/>
      <top/>
      <bottom/>
      <diagonal/>
    </border>
    <border>
      <left style="thin">
        <color auto="1"/>
      </left>
      <right style="thin">
        <color auto="1"/>
      </right>
      <top style="thin">
        <color auto="1"/>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thin">
        <color auto="1"/>
      </right>
      <top/>
      <bottom style="thin">
        <color auto="1"/>
      </bottom>
      <diagonal/>
    </border>
    <border>
      <left style="thick">
        <color auto="1"/>
      </left>
      <right/>
      <top style="thick">
        <color auto="1"/>
      </top>
      <bottom/>
      <diagonal/>
    </border>
    <border>
      <left/>
      <right style="thin">
        <color auto="1"/>
      </right>
      <top style="thick">
        <color auto="1"/>
      </top>
      <bottom/>
      <diagonal/>
    </border>
    <border>
      <left style="thick">
        <color auto="1"/>
      </left>
      <right/>
      <top/>
      <bottom style="thin">
        <color auto="1"/>
      </bottom>
      <diagonal/>
    </border>
    <border>
      <left style="thick">
        <color auto="1"/>
      </left>
      <right style="thin">
        <color auto="1"/>
      </right>
      <top style="thin">
        <color auto="1"/>
      </top>
      <bottom style="thin">
        <color auto="1"/>
      </bottom>
      <diagonal/>
    </border>
    <border>
      <left style="thick">
        <color auto="1"/>
      </left>
      <right/>
      <top style="thin">
        <color auto="1"/>
      </top>
      <bottom/>
      <diagonal/>
    </border>
    <border>
      <left style="thick">
        <color auto="1"/>
      </left>
      <right style="thin">
        <color auto="1"/>
      </right>
      <top style="thin">
        <color auto="1"/>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ck">
        <color auto="1"/>
      </left>
      <right style="thick">
        <color auto="1"/>
      </right>
      <top style="thick">
        <color auto="1"/>
      </top>
      <bottom style="thick">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indexed="8"/>
      </bottom>
      <diagonal/>
    </border>
    <border>
      <left/>
      <right style="medium">
        <color auto="1"/>
      </right>
      <top/>
      <bottom style="medium">
        <color auto="1"/>
      </bottom>
      <diagonal/>
    </border>
    <border>
      <left style="medium">
        <color auto="1"/>
      </left>
      <right style="medium">
        <color auto="1"/>
      </right>
      <top style="medium">
        <color indexed="8"/>
      </top>
      <bottom/>
      <diagonal/>
    </border>
    <border>
      <left/>
      <right/>
      <top/>
      <bottom style="medium">
        <color auto="1"/>
      </bottom>
      <diagonal/>
    </border>
    <border>
      <left style="thick">
        <color auto="1"/>
      </left>
      <right style="thick">
        <color auto="1"/>
      </right>
      <top style="thick">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D6E3BC"/>
      </left>
      <right style="medium">
        <color rgb="FFD6E3BC"/>
      </right>
      <top style="medium">
        <color rgb="FFD6E3BC"/>
      </top>
      <bottom style="medium">
        <color rgb="FFD6E3BC"/>
      </bottom>
      <diagonal/>
    </border>
    <border>
      <left/>
      <right style="medium">
        <color rgb="FFD6E3BC"/>
      </right>
      <top style="medium">
        <color rgb="FFD6E3BC"/>
      </top>
      <bottom style="medium">
        <color rgb="FFD6E3BC"/>
      </bottom>
      <diagonal/>
    </border>
    <border>
      <left style="medium">
        <color rgb="FFD6E3BC"/>
      </left>
      <right style="medium">
        <color rgb="FFD6E3BC"/>
      </right>
      <top/>
      <bottom style="medium">
        <color rgb="FFD6E3BC"/>
      </bottom>
      <diagonal/>
    </border>
    <border>
      <left/>
      <right style="medium">
        <color rgb="FFD6E3BC"/>
      </right>
      <top/>
      <bottom style="medium">
        <color rgb="FFD6E3BC"/>
      </bottom>
      <diagonal/>
    </border>
  </borders>
  <cellStyleXfs count="218">
    <xf numFmtId="0" fontId="0" fillId="0" borderId="0"/>
    <xf numFmtId="0" fontId="9" fillId="0" borderId="0"/>
    <xf numFmtId="0" fontId="16"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0" fontId="18" fillId="0" borderId="0" applyNumberFormat="0" applyFill="0" applyBorder="0" applyAlignment="0" applyProtection="0"/>
    <xf numFmtId="0" fontId="11" fillId="0" borderId="0"/>
    <xf numFmtId="0" fontId="11" fillId="0" borderId="0"/>
    <xf numFmtId="0" fontId="19" fillId="0" borderId="0" applyNumberFormat="0" applyFill="0" applyBorder="0" applyAlignment="0" applyProtection="0"/>
    <xf numFmtId="0" fontId="19" fillId="0" borderId="0" applyNumberForma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7" fillId="0" borderId="0"/>
    <xf numFmtId="9" fontId="9" fillId="0" borderId="0" applyFont="0" applyFill="0" applyBorder="0" applyAlignment="0" applyProtection="0"/>
    <xf numFmtId="43" fontId="9" fillId="0" borderId="0" applyFont="0" applyFill="0" applyBorder="0" applyAlignment="0" applyProtection="0"/>
    <xf numFmtId="0" fontId="8" fillId="0" borderId="0"/>
    <xf numFmtId="9" fontId="16" fillId="0" borderId="0" applyFont="0" applyFill="0" applyBorder="0" applyAlignment="0" applyProtection="0"/>
    <xf numFmtId="0" fontId="60" fillId="35" borderId="0" applyNumberFormat="0" applyBorder="0" applyAlignment="0" applyProtection="0"/>
    <xf numFmtId="43" fontId="16"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18" fillId="0" borderId="0" applyNumberFormat="0" applyFill="0" applyBorder="0" applyAlignment="0" applyProtection="0">
      <alignment vertical="top"/>
      <protection locked="0"/>
    </xf>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6"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0" fontId="72" fillId="0" borderId="0"/>
    <xf numFmtId="43" fontId="3" fillId="0" borderId="0" applyFont="0" applyFill="0" applyBorder="0" applyAlignment="0" applyProtection="0"/>
    <xf numFmtId="0" fontId="5"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9" fillId="0" borderId="0" applyFont="0" applyFill="0" applyBorder="0" applyAlignment="0" applyProtection="0"/>
    <xf numFmtId="43" fontId="9" fillId="0" borderId="0" applyFont="0" applyFill="0" applyBorder="0" applyAlignment="0" applyProtection="0"/>
    <xf numFmtId="0" fontId="2" fillId="0" borderId="0"/>
    <xf numFmtId="0" fontId="5" fillId="0" borderId="0"/>
    <xf numFmtId="9" fontId="2"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9" fillId="0" borderId="0" applyFont="0" applyFill="0" applyBorder="0" applyAlignment="0" applyProtection="0"/>
    <xf numFmtId="0" fontId="1" fillId="0" borderId="0"/>
    <xf numFmtId="9"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cellStyleXfs>
  <cellXfs count="2607">
    <xf numFmtId="0" fontId="0" fillId="0" borderId="0" xfId="0"/>
    <xf numFmtId="0" fontId="17" fillId="0" borderId="0" xfId="0" applyFont="1"/>
    <xf numFmtId="0" fontId="0" fillId="0" borderId="18" xfId="0" applyBorder="1"/>
    <xf numFmtId="0" fontId="15" fillId="0" borderId="1" xfId="0" applyFont="1" applyBorder="1" applyAlignment="1">
      <alignment vertical="top" wrapText="1"/>
    </xf>
    <xf numFmtId="0" fontId="9" fillId="0" borderId="7" xfId="0" applyFont="1" applyFill="1" applyBorder="1" applyAlignment="1">
      <alignment horizontal="center"/>
    </xf>
    <xf numFmtId="0" fontId="15" fillId="0" borderId="18" xfId="0" applyFont="1" applyBorder="1"/>
    <xf numFmtId="15" fontId="0" fillId="0" borderId="18" xfId="0" applyNumberFormat="1" applyBorder="1"/>
    <xf numFmtId="0" fontId="9" fillId="0" borderId="18" xfId="0" applyFont="1" applyBorder="1"/>
    <xf numFmtId="0" fontId="9" fillId="0" borderId="0" xfId="0" applyFont="1"/>
    <xf numFmtId="0" fontId="15" fillId="0" borderId="18" xfId="0" applyFont="1" applyBorder="1" applyAlignment="1">
      <alignment wrapText="1"/>
    </xf>
    <xf numFmtId="0" fontId="9" fillId="0" borderId="18" xfId="0" applyFont="1" applyBorder="1" applyAlignment="1">
      <alignment wrapText="1"/>
    </xf>
    <xf numFmtId="0" fontId="0" fillId="0" borderId="18" xfId="0" applyBorder="1" applyAlignment="1">
      <alignment wrapText="1"/>
    </xf>
    <xf numFmtId="0" fontId="0" fillId="0" borderId="0" xfId="0" applyAlignment="1">
      <alignment wrapText="1"/>
    </xf>
    <xf numFmtId="0" fontId="0" fillId="0" borderId="0" xfId="0" applyAlignment="1">
      <alignment horizontal="center" wrapText="1"/>
    </xf>
    <xf numFmtId="0" fontId="11" fillId="0" borderId="18" xfId="0" applyFont="1" applyBorder="1" applyAlignment="1">
      <alignment horizontal="center" vertical="top" wrapText="1"/>
    </xf>
    <xf numFmtId="15" fontId="9" fillId="0" borderId="18" xfId="0" applyNumberFormat="1" applyFont="1" applyBorder="1"/>
    <xf numFmtId="17" fontId="9" fillId="0" borderId="18" xfId="0" applyNumberFormat="1" applyFont="1" applyBorder="1"/>
    <xf numFmtId="0" fontId="9" fillId="0" borderId="18" xfId="0" applyFont="1" applyFill="1" applyBorder="1" applyAlignment="1">
      <alignment wrapText="1"/>
    </xf>
    <xf numFmtId="0" fontId="0" fillId="17" borderId="0" xfId="0" applyFill="1"/>
    <xf numFmtId="0" fontId="9" fillId="0" borderId="18" xfId="0" applyFont="1" applyFill="1" applyBorder="1" applyAlignment="1">
      <alignment vertical="top" wrapText="1"/>
    </xf>
    <xf numFmtId="0" fontId="10" fillId="15" borderId="18" xfId="0" applyFont="1" applyFill="1" applyBorder="1" applyAlignment="1">
      <alignment horizontal="center" vertical="top" wrapText="1"/>
    </xf>
    <xf numFmtId="0" fontId="15" fillId="0" borderId="28" xfId="0" applyFont="1" applyBorder="1" applyAlignment="1">
      <alignment vertical="top" wrapText="1"/>
    </xf>
    <xf numFmtId="0" fontId="15" fillId="0" borderId="6" xfId="0" applyFont="1" applyBorder="1" applyAlignment="1">
      <alignment vertical="top" wrapText="1"/>
    </xf>
    <xf numFmtId="0" fontId="0" fillId="0" borderId="18" xfId="0" applyBorder="1" applyAlignment="1">
      <alignment horizontal="center"/>
    </xf>
    <xf numFmtId="0" fontId="23" fillId="14" borderId="0" xfId="0" applyFont="1" applyFill="1" applyBorder="1" applyAlignment="1">
      <alignment horizontal="center"/>
    </xf>
    <xf numFmtId="0" fontId="23" fillId="14" borderId="0" xfId="0" applyFont="1" applyFill="1" applyBorder="1"/>
    <xf numFmtId="0" fontId="23" fillId="14" borderId="0" xfId="0" applyFont="1" applyFill="1" applyBorder="1" applyAlignment="1">
      <alignment horizontal="center" wrapText="1"/>
    </xf>
    <xf numFmtId="17" fontId="0" fillId="0" borderId="18" xfId="0" applyNumberFormat="1" applyBorder="1"/>
    <xf numFmtId="0" fontId="9" fillId="0" borderId="18" xfId="0" applyFont="1" applyBorder="1" applyAlignment="1">
      <alignment horizontal="center" wrapText="1"/>
    </xf>
    <xf numFmtId="3" fontId="13" fillId="15" borderId="18" xfId="0" applyNumberFormat="1" applyFont="1" applyFill="1" applyBorder="1" applyAlignment="1">
      <alignment horizontal="center" vertical="top" wrapText="1"/>
    </xf>
    <xf numFmtId="0" fontId="9" fillId="15" borderId="18" xfId="0" applyFont="1" applyFill="1" applyBorder="1" applyAlignment="1">
      <alignment wrapText="1"/>
    </xf>
    <xf numFmtId="0" fontId="0" fillId="0" borderId="18" xfId="0" applyBorder="1" applyAlignment="1">
      <alignment horizontal="center"/>
    </xf>
    <xf numFmtId="0" fontId="25" fillId="0" borderId="0" xfId="0" applyFont="1"/>
    <xf numFmtId="0" fontId="26" fillId="16" borderId="0" xfId="0" applyFont="1" applyFill="1"/>
    <xf numFmtId="0" fontId="0" fillId="16" borderId="0" xfId="0" applyFill="1"/>
    <xf numFmtId="0" fontId="0" fillId="16" borderId="49" xfId="0" applyFill="1" applyBorder="1"/>
    <xf numFmtId="0" fontId="27" fillId="16" borderId="49" xfId="0" applyFont="1" applyFill="1" applyBorder="1" applyAlignment="1">
      <alignment horizontal="center"/>
    </xf>
    <xf numFmtId="0" fontId="27" fillId="17" borderId="49" xfId="0" applyFont="1" applyFill="1" applyBorder="1" applyAlignment="1">
      <alignment horizontal="center"/>
    </xf>
    <xf numFmtId="0" fontId="27" fillId="17" borderId="49" xfId="0" applyFont="1" applyFill="1" applyBorder="1" applyAlignment="1">
      <alignment horizontal="center" wrapText="1"/>
    </xf>
    <xf numFmtId="0" fontId="0" fillId="0" borderId="50" xfId="0" applyBorder="1"/>
    <xf numFmtId="0" fontId="28" fillId="0" borderId="51" xfId="0" applyFont="1" applyBorder="1" applyAlignment="1">
      <alignment horizontal="center" wrapText="1"/>
    </xf>
    <xf numFmtId="0" fontId="0" fillId="0" borderId="52" xfId="0" applyBorder="1"/>
    <xf numFmtId="0" fontId="27" fillId="0" borderId="53" xfId="0" applyFont="1" applyBorder="1"/>
    <xf numFmtId="0" fontId="28" fillId="0" borderId="54" xfId="0" applyFont="1" applyBorder="1" applyAlignment="1">
      <alignment horizontal="center"/>
    </xf>
    <xf numFmtId="0" fontId="28" fillId="0" borderId="55" xfId="0" applyFont="1" applyBorder="1" applyAlignment="1">
      <alignment horizontal="center" wrapText="1"/>
    </xf>
    <xf numFmtId="0" fontId="28" fillId="0" borderId="56" xfId="0" applyFont="1" applyBorder="1" applyAlignment="1">
      <alignment horizontal="center" wrapText="1"/>
    </xf>
    <xf numFmtId="0" fontId="28" fillId="0" borderId="0" xfId="0" applyFont="1" applyBorder="1" applyAlignment="1">
      <alignment horizontal="center" wrapText="1"/>
    </xf>
    <xf numFmtId="0" fontId="27" fillId="16" borderId="57" xfId="0" applyFont="1" applyFill="1" applyBorder="1"/>
    <xf numFmtId="3" fontId="26" fillId="16" borderId="58" xfId="0" applyNumberFormat="1" applyFont="1" applyFill="1" applyBorder="1" applyAlignment="1">
      <alignment horizontal="center"/>
    </xf>
    <xf numFmtId="3" fontId="26" fillId="17" borderId="58" xfId="0" applyNumberFormat="1" applyFont="1" applyFill="1" applyBorder="1" applyAlignment="1">
      <alignment horizontal="center"/>
    </xf>
    <xf numFmtId="3" fontId="26" fillId="17" borderId="59" xfId="0" applyNumberFormat="1" applyFont="1" applyFill="1" applyBorder="1" applyAlignment="1">
      <alignment horizontal="center" wrapText="1"/>
    </xf>
    <xf numFmtId="3" fontId="26" fillId="0" borderId="0" xfId="0" applyNumberFormat="1" applyFont="1" applyBorder="1"/>
    <xf numFmtId="9" fontId="27" fillId="0" borderId="18" xfId="0" applyNumberFormat="1" applyFont="1" applyBorder="1" applyAlignment="1">
      <alignment horizontal="center"/>
    </xf>
    <xf numFmtId="3" fontId="0" fillId="0" borderId="60" xfId="0" applyNumberFormat="1" applyBorder="1"/>
    <xf numFmtId="3" fontId="27" fillId="0" borderId="61" xfId="0" applyNumberFormat="1" applyFont="1" applyBorder="1" applyAlignment="1">
      <alignment horizontal="center"/>
    </xf>
    <xf numFmtId="3" fontId="27" fillId="0" borderId="62" xfId="0" applyNumberFormat="1" applyFont="1" applyBorder="1" applyAlignment="1">
      <alignment horizontal="center"/>
    </xf>
    <xf numFmtId="3" fontId="27" fillId="0" borderId="0" xfId="0" applyNumberFormat="1" applyFont="1" applyBorder="1" applyAlignment="1">
      <alignment horizontal="center"/>
    </xf>
    <xf numFmtId="3" fontId="27" fillId="0" borderId="60" xfId="0" applyNumberFormat="1" applyFont="1" applyBorder="1" applyAlignment="1">
      <alignment horizontal="center"/>
    </xf>
    <xf numFmtId="165" fontId="0" fillId="0" borderId="18" xfId="75" applyNumberFormat="1" applyFont="1" applyBorder="1"/>
    <xf numFmtId="9" fontId="27" fillId="0" borderId="0" xfId="76" applyFont="1" applyBorder="1" applyAlignment="1">
      <alignment horizontal="center"/>
    </xf>
    <xf numFmtId="3" fontId="0" fillId="0" borderId="0" xfId="0" applyNumberFormat="1"/>
    <xf numFmtId="0" fontId="27" fillId="16" borderId="24" xfId="0" applyFont="1" applyFill="1" applyBorder="1"/>
    <xf numFmtId="3" fontId="0" fillId="16" borderId="24" xfId="0" applyNumberFormat="1" applyFill="1" applyBorder="1" applyAlignment="1">
      <alignment horizontal="center"/>
    </xf>
    <xf numFmtId="3" fontId="0" fillId="17" borderId="24" xfId="0" applyNumberFormat="1" applyFill="1" applyBorder="1" applyAlignment="1">
      <alignment horizontal="center"/>
    </xf>
    <xf numFmtId="3" fontId="0" fillId="0" borderId="0" xfId="0" applyNumberFormat="1" applyBorder="1"/>
    <xf numFmtId="9" fontId="28" fillId="0" borderId="18" xfId="0" applyNumberFormat="1" applyFont="1" applyBorder="1" applyAlignment="1">
      <alignment horizontal="center"/>
    </xf>
    <xf numFmtId="3" fontId="28" fillId="0" borderId="61" xfId="0" applyNumberFormat="1" applyFont="1" applyBorder="1" applyAlignment="1">
      <alignment horizontal="center"/>
    </xf>
    <xf numFmtId="3" fontId="28" fillId="0" borderId="62" xfId="0" applyNumberFormat="1" applyFont="1" applyBorder="1" applyAlignment="1">
      <alignment horizontal="center"/>
    </xf>
    <xf numFmtId="3" fontId="28" fillId="0" borderId="0" xfId="0" applyNumberFormat="1" applyFont="1" applyBorder="1" applyAlignment="1">
      <alignment horizontal="center"/>
    </xf>
    <xf numFmtId="3" fontId="28" fillId="0" borderId="60" xfId="0" applyNumberFormat="1" applyFont="1" applyBorder="1" applyAlignment="1">
      <alignment horizontal="center"/>
    </xf>
    <xf numFmtId="0" fontId="27" fillId="16" borderId="18" xfId="0" applyFont="1" applyFill="1" applyBorder="1"/>
    <xf numFmtId="3" fontId="0" fillId="16" borderId="18" xfId="0" applyNumberFormat="1" applyFill="1" applyBorder="1" applyAlignment="1">
      <alignment horizontal="center"/>
    </xf>
    <xf numFmtId="3" fontId="0" fillId="17" borderId="18" xfId="0" applyNumberFormat="1" applyFill="1" applyBorder="1" applyAlignment="1">
      <alignment horizontal="center"/>
    </xf>
    <xf numFmtId="0" fontId="27" fillId="17" borderId="18" xfId="0" applyFont="1" applyFill="1" applyBorder="1"/>
    <xf numFmtId="3" fontId="0" fillId="17" borderId="0" xfId="0" applyNumberFormat="1" applyFill="1" applyBorder="1"/>
    <xf numFmtId="9" fontId="28" fillId="17" borderId="18" xfId="0" applyNumberFormat="1" applyFont="1" applyFill="1" applyBorder="1" applyAlignment="1">
      <alignment horizontal="center"/>
    </xf>
    <xf numFmtId="3" fontId="0" fillId="17" borderId="60" xfId="0" applyNumberFormat="1" applyFill="1" applyBorder="1"/>
    <xf numFmtId="3" fontId="28" fillId="17" borderId="61" xfId="0" applyNumberFormat="1" applyFont="1" applyFill="1" applyBorder="1" applyAlignment="1">
      <alignment horizontal="center"/>
    </xf>
    <xf numFmtId="3" fontId="28" fillId="17" borderId="62" xfId="0" applyNumberFormat="1" applyFont="1" applyFill="1" applyBorder="1" applyAlignment="1">
      <alignment horizontal="center"/>
    </xf>
    <xf numFmtId="3" fontId="28" fillId="17" borderId="0" xfId="0" applyNumberFormat="1" applyFont="1" applyFill="1" applyBorder="1" applyAlignment="1">
      <alignment horizontal="center"/>
    </xf>
    <xf numFmtId="3" fontId="28" fillId="17" borderId="60" xfId="0" applyNumberFormat="1" applyFont="1" applyFill="1" applyBorder="1" applyAlignment="1">
      <alignment horizontal="center"/>
    </xf>
    <xf numFmtId="0" fontId="27" fillId="16" borderId="63" xfId="0" applyFont="1" applyFill="1" applyBorder="1"/>
    <xf numFmtId="3" fontId="0" fillId="16" borderId="63" xfId="0" applyNumberFormat="1" applyFill="1" applyBorder="1" applyAlignment="1">
      <alignment horizontal="center"/>
    </xf>
    <xf numFmtId="3" fontId="0" fillId="17" borderId="63" xfId="0" applyNumberFormat="1" applyFill="1" applyBorder="1" applyAlignment="1">
      <alignment horizontal="center"/>
    </xf>
    <xf numFmtId="3" fontId="0" fillId="0" borderId="64" xfId="0" applyNumberFormat="1" applyBorder="1"/>
    <xf numFmtId="9" fontId="28" fillId="0" borderId="63" xfId="0" applyNumberFormat="1" applyFont="1" applyBorder="1" applyAlignment="1">
      <alignment horizontal="center"/>
    </xf>
    <xf numFmtId="3" fontId="0" fillId="0" borderId="65" xfId="0" applyNumberFormat="1" applyBorder="1"/>
    <xf numFmtId="3" fontId="28" fillId="0" borderId="66" xfId="0" applyNumberFormat="1" applyFont="1" applyBorder="1" applyAlignment="1">
      <alignment horizontal="center"/>
    </xf>
    <xf numFmtId="3" fontId="28" fillId="0" borderId="67" xfId="0" applyNumberFormat="1" applyFont="1" applyBorder="1" applyAlignment="1">
      <alignment horizontal="center"/>
    </xf>
    <xf numFmtId="3" fontId="28" fillId="0" borderId="64" xfId="0" applyNumberFormat="1" applyFont="1" applyBorder="1" applyAlignment="1">
      <alignment horizontal="center"/>
    </xf>
    <xf numFmtId="3" fontId="28" fillId="0" borderId="65" xfId="0" applyNumberFormat="1" applyFont="1" applyBorder="1" applyAlignment="1">
      <alignment horizontal="center"/>
    </xf>
    <xf numFmtId="165" fontId="0" fillId="0" borderId="5" xfId="75" applyNumberFormat="1" applyFont="1" applyBorder="1"/>
    <xf numFmtId="0" fontId="28" fillId="0" borderId="54" xfId="0" applyFont="1" applyBorder="1" applyAlignment="1">
      <alignment horizontal="center" wrapText="1"/>
    </xf>
    <xf numFmtId="3" fontId="27" fillId="0" borderId="26" xfId="0" applyNumberFormat="1" applyFont="1" applyBorder="1" applyAlignment="1">
      <alignment horizontal="center"/>
    </xf>
    <xf numFmtId="3" fontId="28" fillId="0" borderId="26" xfId="0" applyNumberFormat="1" applyFont="1" applyBorder="1" applyAlignment="1">
      <alignment horizontal="center"/>
    </xf>
    <xf numFmtId="3" fontId="28" fillId="0" borderId="60" xfId="0" applyNumberFormat="1" applyFont="1" applyFill="1" applyBorder="1" applyAlignment="1">
      <alignment horizontal="center"/>
    </xf>
    <xf numFmtId="3" fontId="28" fillId="0" borderId="68" xfId="0" applyNumberFormat="1" applyFont="1" applyBorder="1" applyAlignment="1">
      <alignment horizontal="center"/>
    </xf>
    <xf numFmtId="3" fontId="28" fillId="0" borderId="65" xfId="0" applyNumberFormat="1" applyFont="1" applyFill="1" applyBorder="1" applyAlignment="1">
      <alignment horizontal="center"/>
    </xf>
    <xf numFmtId="0" fontId="0" fillId="0" borderId="69" xfId="0" applyBorder="1"/>
    <xf numFmtId="0" fontId="28" fillId="0" borderId="0" xfId="0" applyFont="1" applyBorder="1" applyAlignment="1">
      <alignment horizontal="center" vertical="top" wrapText="1"/>
    </xf>
    <xf numFmtId="165" fontId="0" fillId="0" borderId="29" xfId="75" applyNumberFormat="1" applyFont="1" applyBorder="1"/>
    <xf numFmtId="43" fontId="0" fillId="0" borderId="0" xfId="0" applyNumberFormat="1"/>
    <xf numFmtId="0" fontId="27" fillId="0" borderId="28" xfId="0" applyFont="1" applyBorder="1"/>
    <xf numFmtId="0" fontId="25" fillId="0" borderId="18" xfId="0" applyFont="1" applyBorder="1"/>
    <xf numFmtId="0" fontId="25" fillId="0" borderId="29" xfId="0" applyFont="1" applyBorder="1"/>
    <xf numFmtId="0" fontId="25" fillId="0" borderId="39" xfId="0" applyFont="1" applyBorder="1"/>
    <xf numFmtId="0" fontId="26" fillId="0" borderId="48" xfId="0" applyFont="1" applyFill="1" applyBorder="1"/>
    <xf numFmtId="0" fontId="25" fillId="0" borderId="28" xfId="0" applyFont="1" applyBorder="1"/>
    <xf numFmtId="165" fontId="0" fillId="0" borderId="23" xfId="75" applyNumberFormat="1" applyFont="1" applyBorder="1"/>
    <xf numFmtId="165" fontId="0" fillId="0" borderId="28" xfId="75" applyNumberFormat="1" applyFont="1" applyBorder="1"/>
    <xf numFmtId="165" fontId="0" fillId="0" borderId="19" xfId="0" applyNumberFormat="1" applyBorder="1"/>
    <xf numFmtId="165" fontId="0" fillId="0" borderId="29" xfId="0" applyNumberFormat="1" applyBorder="1"/>
    <xf numFmtId="43" fontId="0" fillId="0" borderId="18" xfId="75" applyNumberFormat="1" applyFont="1" applyBorder="1"/>
    <xf numFmtId="165" fontId="0" fillId="0" borderId="19" xfId="75" applyNumberFormat="1" applyFont="1" applyFill="1" applyBorder="1"/>
    <xf numFmtId="165" fontId="0" fillId="0" borderId="18" xfId="75" applyNumberFormat="1" applyFont="1" applyFill="1" applyBorder="1"/>
    <xf numFmtId="9" fontId="0" fillId="0" borderId="18" xfId="0" applyNumberFormat="1" applyBorder="1"/>
    <xf numFmtId="9" fontId="0" fillId="0" borderId="29" xfId="0" applyNumberFormat="1" applyBorder="1"/>
    <xf numFmtId="43" fontId="28" fillId="0" borderId="19" xfId="0" applyNumberFormat="1" applyFont="1" applyBorder="1"/>
    <xf numFmtId="43" fontId="28" fillId="0" borderId="18" xfId="0" applyNumberFormat="1" applyFont="1" applyBorder="1"/>
    <xf numFmtId="165" fontId="0" fillId="0" borderId="18" xfId="0" applyNumberFormat="1" applyBorder="1"/>
    <xf numFmtId="0" fontId="25" fillId="0" borderId="6" xfId="0" applyFont="1" applyBorder="1"/>
    <xf numFmtId="165" fontId="0" fillId="0" borderId="17" xfId="75" applyNumberFormat="1" applyFont="1" applyBorder="1"/>
    <xf numFmtId="165" fontId="0" fillId="0" borderId="6" xfId="75" applyNumberFormat="1" applyFont="1" applyBorder="1"/>
    <xf numFmtId="165" fontId="0" fillId="0" borderId="40" xfId="0" applyNumberFormat="1" applyBorder="1"/>
    <xf numFmtId="165" fontId="0" fillId="0" borderId="4" xfId="0" applyNumberFormat="1" applyBorder="1"/>
    <xf numFmtId="165" fontId="0" fillId="0" borderId="5" xfId="0" applyNumberFormat="1" applyBorder="1"/>
    <xf numFmtId="0" fontId="0" fillId="0" borderId="28" xfId="0" applyBorder="1"/>
    <xf numFmtId="9" fontId="0" fillId="0" borderId="0" xfId="76" applyFont="1"/>
    <xf numFmtId="9" fontId="0" fillId="0" borderId="5" xfId="0" applyNumberFormat="1" applyBorder="1"/>
    <xf numFmtId="9" fontId="0" fillId="0" borderId="4" xfId="0" applyNumberFormat="1" applyBorder="1"/>
    <xf numFmtId="9" fontId="0" fillId="0" borderId="18" xfId="76" applyFont="1" applyBorder="1"/>
    <xf numFmtId="9" fontId="0" fillId="0" borderId="29" xfId="76" applyFont="1" applyBorder="1"/>
    <xf numFmtId="9" fontId="0" fillId="0" borderId="5" xfId="76" applyFont="1" applyBorder="1"/>
    <xf numFmtId="9" fontId="0" fillId="0" borderId="4" xfId="76" applyFont="1" applyBorder="1"/>
    <xf numFmtId="9" fontId="12" fillId="0" borderId="0" xfId="76" applyFont="1" applyBorder="1" applyAlignment="1">
      <alignment vertical="top" wrapText="1"/>
    </xf>
    <xf numFmtId="3" fontId="12" fillId="0" borderId="0" xfId="0" applyNumberFormat="1" applyFont="1" applyBorder="1" applyAlignment="1">
      <alignment vertical="top" wrapText="1"/>
    </xf>
    <xf numFmtId="0" fontId="25" fillId="0" borderId="0" xfId="0" applyFont="1" applyBorder="1"/>
    <xf numFmtId="9" fontId="0" fillId="0" borderId="0" xfId="0" applyNumberFormat="1" applyBorder="1"/>
    <xf numFmtId="0" fontId="25" fillId="0" borderId="0" xfId="0" applyFont="1" applyFill="1" applyBorder="1"/>
    <xf numFmtId="0" fontId="0" fillId="0" borderId="45" xfId="0" applyBorder="1"/>
    <xf numFmtId="0" fontId="25" fillId="0" borderId="23" xfId="0" applyFont="1" applyBorder="1"/>
    <xf numFmtId="0" fontId="25" fillId="0" borderId="18" xfId="0" applyFont="1" applyFill="1" applyBorder="1"/>
    <xf numFmtId="0" fontId="32" fillId="15" borderId="18" xfId="0" applyFont="1" applyFill="1" applyBorder="1" applyAlignment="1">
      <alignment horizontal="left"/>
    </xf>
    <xf numFmtId="9" fontId="32" fillId="15" borderId="18" xfId="76" applyFont="1" applyFill="1" applyBorder="1" applyAlignment="1">
      <alignment horizontal="center"/>
    </xf>
    <xf numFmtId="0" fontId="32" fillId="15" borderId="18" xfId="0" applyFont="1" applyFill="1" applyBorder="1" applyAlignment="1">
      <alignment horizontal="center"/>
    </xf>
    <xf numFmtId="165" fontId="0" fillId="0" borderId="0" xfId="75" applyNumberFormat="1" applyFont="1"/>
    <xf numFmtId="0" fontId="35" fillId="0" borderId="0" xfId="0" applyFont="1"/>
    <xf numFmtId="0" fontId="25" fillId="0" borderId="71" xfId="0" applyFont="1" applyBorder="1"/>
    <xf numFmtId="0" fontId="25" fillId="0" borderId="24" xfId="0" applyFont="1" applyBorder="1"/>
    <xf numFmtId="0" fontId="25" fillId="0" borderId="24" xfId="0" applyFont="1" applyBorder="1" applyAlignment="1">
      <alignment wrapText="1"/>
    </xf>
    <xf numFmtId="0" fontId="24" fillId="0" borderId="24" xfId="0" applyFont="1" applyBorder="1" applyAlignment="1">
      <alignment wrapText="1"/>
    </xf>
    <xf numFmtId="0" fontId="24" fillId="0" borderId="18" xfId="0" applyFont="1" applyFill="1" applyBorder="1" applyAlignment="1">
      <alignment horizontal="center" wrapText="1"/>
    </xf>
    <xf numFmtId="43" fontId="0" fillId="0" borderId="18" xfId="0" applyNumberFormat="1" applyBorder="1"/>
    <xf numFmtId="165" fontId="0" fillId="16" borderId="18" xfId="0" applyNumberFormat="1" applyFill="1" applyBorder="1"/>
    <xf numFmtId="1" fontId="0" fillId="16" borderId="18" xfId="0" applyNumberFormat="1" applyFill="1" applyBorder="1"/>
    <xf numFmtId="9" fontId="0" fillId="0" borderId="18" xfId="76" applyFont="1" applyBorder="1" applyAlignment="1">
      <alignment horizontal="center"/>
    </xf>
    <xf numFmtId="1" fontId="0" fillId="0" borderId="18" xfId="0" applyNumberFormat="1" applyBorder="1"/>
    <xf numFmtId="165" fontId="0" fillId="0" borderId="21" xfId="75" applyNumberFormat="1" applyFont="1" applyBorder="1"/>
    <xf numFmtId="0" fontId="35" fillId="0" borderId="18" xfId="0" applyFont="1" applyBorder="1" applyAlignment="1">
      <alignment horizontal="center"/>
    </xf>
    <xf numFmtId="0" fontId="0" fillId="0" borderId="18" xfId="0" applyBorder="1" applyAlignment="1">
      <alignment horizontal="left"/>
    </xf>
    <xf numFmtId="9" fontId="0" fillId="0" borderId="18" xfId="76" applyFont="1" applyBorder="1" applyAlignment="1">
      <alignment horizontal="center" vertical="center"/>
    </xf>
    <xf numFmtId="1" fontId="0" fillId="0" borderId="18" xfId="0" applyNumberFormat="1" applyBorder="1" applyAlignment="1">
      <alignment horizontal="center"/>
    </xf>
    <xf numFmtId="0" fontId="35" fillId="0" borderId="18" xfId="0" applyFont="1" applyBorder="1" applyAlignment="1">
      <alignment horizontal="left"/>
    </xf>
    <xf numFmtId="1" fontId="35" fillId="0" borderId="18" xfId="0" applyNumberFormat="1" applyFont="1" applyBorder="1" applyAlignment="1">
      <alignment horizontal="center"/>
    </xf>
    <xf numFmtId="0" fontId="36" fillId="0" borderId="18" xfId="0" applyFont="1" applyBorder="1" applyAlignment="1">
      <alignment wrapText="1"/>
    </xf>
    <xf numFmtId="0" fontId="36" fillId="0" borderId="0" xfId="0" applyFont="1" applyAlignment="1">
      <alignment wrapText="1"/>
    </xf>
    <xf numFmtId="0" fontId="36" fillId="0" borderId="18" xfId="0" applyFont="1" applyFill="1" applyBorder="1" applyAlignment="1">
      <alignment wrapText="1"/>
    </xf>
    <xf numFmtId="0" fontId="35" fillId="0" borderId="18" xfId="0" applyFont="1" applyBorder="1" applyAlignment="1">
      <alignment horizontal="center" wrapText="1"/>
    </xf>
    <xf numFmtId="0" fontId="35" fillId="0" borderId="18" xfId="0" applyFont="1" applyFill="1" applyBorder="1" applyAlignment="1">
      <alignment horizontal="center" wrapText="1"/>
    </xf>
    <xf numFmtId="1" fontId="35" fillId="0" borderId="18" xfId="0" applyNumberFormat="1" applyFont="1" applyFill="1" applyBorder="1" applyAlignment="1">
      <alignment horizontal="center" vertical="center" wrapText="1"/>
    </xf>
    <xf numFmtId="0" fontId="27" fillId="0" borderId="18" xfId="0" applyFont="1" applyBorder="1"/>
    <xf numFmtId="165" fontId="37" fillId="0" borderId="18" xfId="75" applyNumberFormat="1" applyFont="1" applyBorder="1" applyAlignment="1">
      <alignment horizontal="center" vertical="center"/>
    </xf>
    <xf numFmtId="0" fontId="37" fillId="0" borderId="18" xfId="0" applyFont="1" applyBorder="1" applyAlignment="1">
      <alignment horizontal="center"/>
    </xf>
    <xf numFmtId="164" fontId="37" fillId="0" borderId="18" xfId="0" applyNumberFormat="1" applyFont="1" applyBorder="1" applyAlignment="1">
      <alignment horizontal="center" vertical="center"/>
    </xf>
    <xf numFmtId="166" fontId="37" fillId="0" borderId="18" xfId="76" applyNumberFormat="1" applyFont="1" applyFill="1" applyBorder="1" applyAlignment="1">
      <alignment horizontal="center" vertical="center"/>
    </xf>
    <xf numFmtId="1" fontId="0" fillId="0" borderId="18" xfId="0" applyNumberFormat="1" applyBorder="1" applyAlignment="1">
      <alignment horizontal="center" vertical="center"/>
    </xf>
    <xf numFmtId="165" fontId="0" fillId="0" borderId="18" xfId="75" applyNumberFormat="1" applyFont="1" applyBorder="1" applyAlignment="1">
      <alignment horizontal="center" vertical="center"/>
    </xf>
    <xf numFmtId="166" fontId="0" fillId="0" borderId="18" xfId="76" applyNumberFormat="1" applyFont="1" applyBorder="1" applyAlignment="1">
      <alignment horizontal="center" vertical="center"/>
    </xf>
    <xf numFmtId="166" fontId="0" fillId="0" borderId="18" xfId="76" applyNumberFormat="1" applyFont="1" applyFill="1" applyBorder="1" applyAlignment="1">
      <alignment horizontal="center" vertical="center"/>
    </xf>
    <xf numFmtId="0" fontId="25" fillId="0" borderId="18" xfId="0" applyFont="1" applyBorder="1" applyAlignment="1">
      <alignment vertical="top"/>
    </xf>
    <xf numFmtId="165" fontId="0" fillId="0" borderId="18" xfId="75" applyNumberFormat="1" applyFont="1" applyBorder="1" applyAlignment="1">
      <alignment horizontal="center" vertical="top"/>
    </xf>
    <xf numFmtId="0" fontId="0" fillId="0" borderId="18" xfId="0" applyBorder="1" applyAlignment="1">
      <alignment horizontal="center" vertical="top"/>
    </xf>
    <xf numFmtId="0" fontId="25" fillId="0" borderId="18" xfId="0" applyFont="1" applyBorder="1" applyAlignment="1">
      <alignment vertical="center"/>
    </xf>
    <xf numFmtId="0" fontId="0" fillId="0" borderId="18" xfId="0" applyBorder="1" applyAlignment="1">
      <alignment horizontal="center" vertical="center"/>
    </xf>
    <xf numFmtId="0" fontId="38" fillId="0" borderId="0" xfId="0" applyFont="1" applyAlignment="1">
      <alignment wrapText="1"/>
    </xf>
    <xf numFmtId="1" fontId="0" fillId="0" borderId="0" xfId="0" applyNumberFormat="1" applyAlignment="1">
      <alignment horizontal="center"/>
    </xf>
    <xf numFmtId="0" fontId="39" fillId="0" borderId="0" xfId="0" applyFont="1"/>
    <xf numFmtId="0" fontId="14" fillId="21" borderId="46" xfId="78" applyFont="1" applyFill="1" applyBorder="1" applyAlignment="1">
      <alignment horizontal="center" wrapText="1"/>
    </xf>
    <xf numFmtId="0" fontId="14" fillId="22" borderId="46" xfId="78" applyFont="1" applyFill="1" applyBorder="1" applyAlignment="1">
      <alignment horizontal="center" wrapText="1"/>
    </xf>
    <xf numFmtId="0" fontId="14" fillId="23" borderId="46" xfId="78" applyFont="1" applyFill="1" applyBorder="1" applyAlignment="1">
      <alignment horizontal="center" wrapText="1"/>
    </xf>
    <xf numFmtId="0" fontId="14" fillId="24" borderId="46" xfId="78" applyFont="1" applyFill="1" applyBorder="1" applyAlignment="1">
      <alignment horizontal="center" wrapText="1"/>
    </xf>
    <xf numFmtId="0" fontId="14" fillId="25" borderId="46" xfId="78" applyFont="1" applyFill="1" applyBorder="1" applyAlignment="1">
      <alignment horizontal="center" wrapText="1"/>
    </xf>
    <xf numFmtId="0" fontId="14" fillId="26" borderId="46" xfId="78" applyFont="1" applyFill="1" applyBorder="1" applyAlignment="1">
      <alignment horizontal="center" wrapText="1"/>
    </xf>
    <xf numFmtId="0" fontId="14" fillId="22" borderId="39" xfId="78" applyFont="1" applyFill="1" applyBorder="1" applyAlignment="1">
      <alignment horizontal="center" wrapText="1"/>
    </xf>
    <xf numFmtId="0" fontId="14" fillId="23" borderId="47" xfId="78" applyFont="1" applyFill="1" applyBorder="1" applyAlignment="1">
      <alignment horizontal="center" wrapText="1"/>
    </xf>
    <xf numFmtId="0" fontId="35" fillId="17" borderId="28" xfId="0" applyFont="1" applyFill="1" applyBorder="1"/>
    <xf numFmtId="0" fontId="14" fillId="23" borderId="18" xfId="78" applyFont="1" applyFill="1" applyBorder="1" applyAlignment="1">
      <alignment horizontal="center" wrapText="1"/>
    </xf>
    <xf numFmtId="0" fontId="14" fillId="22" borderId="18" xfId="78" applyFont="1" applyFill="1" applyBorder="1" applyAlignment="1">
      <alignment horizontal="center" wrapText="1"/>
    </xf>
    <xf numFmtId="0" fontId="14" fillId="17" borderId="18" xfId="79" applyFont="1" applyFill="1" applyBorder="1" applyAlignment="1">
      <alignment horizontal="right" wrapText="1"/>
    </xf>
    <xf numFmtId="0" fontId="0" fillId="0" borderId="28" xfId="0" applyFill="1" applyBorder="1"/>
    <xf numFmtId="0" fontId="14" fillId="21" borderId="18" xfId="78" applyFont="1" applyFill="1" applyBorder="1" applyAlignment="1">
      <alignment horizontal="center" wrapText="1"/>
    </xf>
    <xf numFmtId="0" fontId="14" fillId="24" borderId="18" xfId="78" applyFont="1" applyFill="1" applyBorder="1" applyAlignment="1">
      <alignment horizontal="center" wrapText="1"/>
    </xf>
    <xf numFmtId="0" fontId="14" fillId="25" borderId="18" xfId="78" applyFont="1" applyFill="1" applyBorder="1" applyAlignment="1">
      <alignment horizontal="center" wrapText="1"/>
    </xf>
    <xf numFmtId="0" fontId="14" fillId="26" borderId="18" xfId="78" applyFont="1" applyFill="1" applyBorder="1" applyAlignment="1">
      <alignment horizontal="center" wrapText="1"/>
    </xf>
    <xf numFmtId="0" fontId="0" fillId="17" borderId="18" xfId="0" applyFill="1" applyBorder="1"/>
    <xf numFmtId="0" fontId="0" fillId="19" borderId="18" xfId="0" applyFill="1" applyBorder="1"/>
    <xf numFmtId="0" fontId="35" fillId="14" borderId="6" xfId="0" applyFont="1" applyFill="1" applyBorder="1"/>
    <xf numFmtId="0" fontId="0" fillId="14" borderId="5" xfId="0" applyFill="1" applyBorder="1"/>
    <xf numFmtId="0" fontId="0" fillId="19" borderId="5" xfId="0" applyFill="1" applyBorder="1"/>
    <xf numFmtId="0" fontId="35" fillId="27" borderId="0" xfId="0" applyFont="1" applyFill="1"/>
    <xf numFmtId="0" fontId="35" fillId="0" borderId="18" xfId="0" applyFont="1" applyBorder="1" applyAlignment="1">
      <alignment horizontal="right"/>
    </xf>
    <xf numFmtId="0" fontId="35" fillId="27" borderId="18" xfId="0" applyFont="1" applyFill="1" applyBorder="1" applyAlignment="1">
      <alignment horizontal="center"/>
    </xf>
    <xf numFmtId="0" fontId="0" fillId="28" borderId="22" xfId="0" applyFill="1" applyBorder="1" applyAlignment="1">
      <alignment horizontal="center"/>
    </xf>
    <xf numFmtId="0" fontId="0" fillId="27" borderId="18" xfId="0" applyFill="1" applyBorder="1" applyAlignment="1">
      <alignment horizontal="center"/>
    </xf>
    <xf numFmtId="0" fontId="40" fillId="0" borderId="0" xfId="0" applyFont="1"/>
    <xf numFmtId="0" fontId="0" fillId="27" borderId="18" xfId="0" applyFill="1" applyBorder="1"/>
    <xf numFmtId="0" fontId="35" fillId="16" borderId="0" xfId="0" applyFont="1" applyFill="1" applyBorder="1" applyAlignment="1">
      <alignment horizontal="right"/>
    </xf>
    <xf numFmtId="9" fontId="0" fillId="0" borderId="0" xfId="0" applyNumberFormat="1"/>
    <xf numFmtId="0" fontId="35" fillId="0" borderId="18" xfId="0" applyFont="1" applyFill="1" applyBorder="1" applyAlignment="1">
      <alignment horizontal="center"/>
    </xf>
    <xf numFmtId="0" fontId="35" fillId="16" borderId="18" xfId="0" applyFont="1" applyFill="1" applyBorder="1" applyAlignment="1">
      <alignment horizontal="center"/>
    </xf>
    <xf numFmtId="0" fontId="35" fillId="0" borderId="22" xfId="0" applyFont="1" applyFill="1" applyBorder="1" applyAlignment="1">
      <alignment horizontal="right"/>
    </xf>
    <xf numFmtId="1" fontId="0" fillId="16" borderId="0" xfId="0" applyNumberFormat="1" applyFill="1"/>
    <xf numFmtId="1" fontId="0" fillId="16" borderId="22" xfId="0" applyNumberFormat="1" applyFill="1" applyBorder="1"/>
    <xf numFmtId="1" fontId="0" fillId="0" borderId="0" xfId="0" applyNumberFormat="1"/>
    <xf numFmtId="1" fontId="0" fillId="0" borderId="22" xfId="0" applyNumberFormat="1" applyFill="1" applyBorder="1"/>
    <xf numFmtId="0" fontId="0" fillId="0" borderId="0" xfId="0" applyFill="1"/>
    <xf numFmtId="0" fontId="35" fillId="0" borderId="18" xfId="0" applyFont="1" applyBorder="1"/>
    <xf numFmtId="0" fontId="24" fillId="0" borderId="18" xfId="0" applyFont="1" applyBorder="1"/>
    <xf numFmtId="0" fontId="24" fillId="0" borderId="18" xfId="0" applyFont="1" applyBorder="1" applyAlignment="1">
      <alignment horizontal="center" vertical="center"/>
    </xf>
    <xf numFmtId="0" fontId="24" fillId="0" borderId="18" xfId="0" applyFont="1" applyFill="1" applyBorder="1" applyAlignment="1">
      <alignment horizontal="center" vertical="center"/>
    </xf>
    <xf numFmtId="4" fontId="24" fillId="0" borderId="18" xfId="0" applyNumberFormat="1" applyFont="1" applyFill="1" applyBorder="1" applyAlignment="1">
      <alignment horizontal="center" vertical="center"/>
    </xf>
    <xf numFmtId="0" fontId="29" fillId="0" borderId="18" xfId="0" applyFont="1" applyFill="1" applyBorder="1"/>
    <xf numFmtId="3" fontId="0" fillId="0" borderId="18" xfId="0" applyNumberFormat="1" applyFill="1" applyBorder="1" applyAlignment="1">
      <alignment horizontal="center"/>
    </xf>
    <xf numFmtId="2" fontId="0" fillId="0" borderId="18" xfId="0" applyNumberFormat="1" applyFill="1" applyBorder="1" applyAlignment="1">
      <alignment horizontal="center"/>
    </xf>
    <xf numFmtId="4" fontId="0" fillId="0" borderId="18" xfId="0" applyNumberFormat="1" applyFill="1" applyBorder="1" applyAlignment="1">
      <alignment horizontal="center"/>
    </xf>
    <xf numFmtId="0" fontId="29" fillId="0" borderId="18" xfId="0" applyFont="1" applyBorder="1"/>
    <xf numFmtId="3" fontId="0" fillId="0" borderId="18" xfId="0" applyNumberFormat="1" applyBorder="1" applyAlignment="1">
      <alignment horizontal="center"/>
    </xf>
    <xf numFmtId="2" fontId="0" fillId="0" borderId="18" xfId="0" applyNumberFormat="1" applyBorder="1" applyAlignment="1">
      <alignment horizontal="center"/>
    </xf>
    <xf numFmtId="0" fontId="24" fillId="0" borderId="18" xfId="0" applyFont="1" applyBorder="1" applyAlignment="1">
      <alignment horizontal="center"/>
    </xf>
    <xf numFmtId="3" fontId="24" fillId="0" borderId="18" xfId="0" applyNumberFormat="1" applyFont="1" applyBorder="1" applyAlignment="1">
      <alignment horizontal="center"/>
    </xf>
    <xf numFmtId="4" fontId="24" fillId="0" borderId="18" xfId="0" applyNumberFormat="1" applyFont="1" applyFill="1" applyBorder="1" applyAlignment="1">
      <alignment horizontal="center"/>
    </xf>
    <xf numFmtId="10" fontId="0" fillId="0" borderId="18" xfId="0" applyNumberFormat="1" applyFill="1" applyBorder="1" applyAlignment="1">
      <alignment horizontal="center"/>
    </xf>
    <xf numFmtId="0" fontId="24" fillId="0" borderId="0" xfId="0" applyFont="1" applyBorder="1"/>
    <xf numFmtId="0" fontId="24" fillId="0" borderId="0" xfId="0" applyFont="1"/>
    <xf numFmtId="0" fontId="24" fillId="33" borderId="18" xfId="0" applyFont="1" applyFill="1" applyBorder="1" applyAlignment="1">
      <alignment horizontal="left"/>
    </xf>
    <xf numFmtId="0" fontId="24" fillId="17" borderId="19" xfId="0" applyFont="1" applyFill="1" applyBorder="1" applyAlignment="1">
      <alignment horizontal="left"/>
    </xf>
    <xf numFmtId="0" fontId="24" fillId="17" borderId="18" xfId="0" applyFont="1" applyFill="1" applyBorder="1" applyAlignment="1">
      <alignment horizontal="left"/>
    </xf>
    <xf numFmtId="0" fontId="24" fillId="17" borderId="18" xfId="0" applyFont="1" applyFill="1" applyBorder="1" applyAlignment="1">
      <alignment horizontal="center"/>
    </xf>
    <xf numFmtId="0" fontId="24" fillId="17" borderId="22" xfId="0" applyFont="1" applyFill="1" applyBorder="1" applyAlignment="1">
      <alignment horizontal="left" wrapText="1"/>
    </xf>
    <xf numFmtId="165" fontId="0" fillId="31" borderId="19" xfId="75" applyNumberFormat="1" applyFont="1" applyFill="1" applyBorder="1" applyAlignment="1">
      <alignment horizontal="center"/>
    </xf>
    <xf numFmtId="10" fontId="0" fillId="31" borderId="18" xfId="0" applyNumberFormat="1" applyFill="1" applyBorder="1" applyAlignment="1">
      <alignment horizontal="center"/>
    </xf>
    <xf numFmtId="165" fontId="0" fillId="31" borderId="18" xfId="75" applyNumberFormat="1" applyFont="1" applyFill="1" applyBorder="1" applyAlignment="1">
      <alignment horizontal="center"/>
    </xf>
    <xf numFmtId="164" fontId="0" fillId="0" borderId="18" xfId="75" applyNumberFormat="1" applyFont="1" applyFill="1" applyBorder="1" applyAlignment="1">
      <alignment horizontal="center" vertical="center"/>
    </xf>
    <xf numFmtId="166" fontId="0" fillId="16" borderId="18" xfId="0" applyNumberFormat="1" applyFill="1" applyBorder="1" applyAlignment="1">
      <alignment horizontal="center"/>
    </xf>
    <xf numFmtId="166" fontId="0" fillId="32" borderId="18" xfId="0" applyNumberFormat="1" applyFill="1" applyBorder="1" applyAlignment="1">
      <alignment horizontal="center"/>
    </xf>
    <xf numFmtId="165" fontId="0" fillId="31" borderId="19" xfId="0" applyNumberFormat="1" applyFill="1" applyBorder="1" applyAlignment="1">
      <alignment horizontal="center"/>
    </xf>
    <xf numFmtId="0" fontId="0" fillId="31" borderId="18" xfId="0" applyFill="1" applyBorder="1" applyAlignment="1">
      <alignment horizontal="center"/>
    </xf>
    <xf numFmtId="165" fontId="0" fillId="32" borderId="18" xfId="0" applyNumberFormat="1" applyFill="1" applyBorder="1"/>
    <xf numFmtId="0" fontId="0" fillId="32" borderId="18" xfId="0" applyFill="1" applyBorder="1" applyAlignment="1">
      <alignment horizontal="center"/>
    </xf>
    <xf numFmtId="165" fontId="0" fillId="32" borderId="18" xfId="75" applyNumberFormat="1" applyFont="1" applyFill="1" applyBorder="1"/>
    <xf numFmtId="0" fontId="24" fillId="33" borderId="18" xfId="0" applyFont="1" applyFill="1" applyBorder="1"/>
    <xf numFmtId="165" fontId="0" fillId="17" borderId="19" xfId="0" applyNumberFormat="1" applyFill="1" applyBorder="1" applyAlignment="1">
      <alignment horizontal="center"/>
    </xf>
    <xf numFmtId="0" fontId="0" fillId="17" borderId="18" xfId="0" applyFill="1" applyBorder="1" applyAlignment="1">
      <alignment horizontal="center"/>
    </xf>
    <xf numFmtId="165" fontId="0" fillId="17" borderId="18" xfId="75" applyNumberFormat="1" applyFont="1" applyFill="1" applyBorder="1" applyAlignment="1">
      <alignment horizontal="center"/>
    </xf>
    <xf numFmtId="166" fontId="0" fillId="17" borderId="18" xfId="0" applyNumberFormat="1" applyFill="1" applyBorder="1" applyAlignment="1">
      <alignment horizontal="center"/>
    </xf>
    <xf numFmtId="166" fontId="0" fillId="16" borderId="18" xfId="0" applyNumberFormat="1" applyFill="1" applyBorder="1" applyAlignment="1">
      <alignment horizontal="center" vertical="center"/>
    </xf>
    <xf numFmtId="1" fontId="0" fillId="0" borderId="18" xfId="75" applyNumberFormat="1" applyFont="1" applyFill="1" applyBorder="1" applyAlignment="1">
      <alignment horizontal="center"/>
    </xf>
    <xf numFmtId="165" fontId="0" fillId="32" borderId="18" xfId="0" applyNumberFormat="1" applyFill="1" applyBorder="1" applyAlignment="1">
      <alignment horizontal="center"/>
    </xf>
    <xf numFmtId="165" fontId="0" fillId="32" borderId="18" xfId="75" applyNumberFormat="1" applyFont="1" applyFill="1" applyBorder="1" applyAlignment="1">
      <alignment horizontal="center"/>
    </xf>
    <xf numFmtId="164" fontId="0" fillId="0" borderId="18" xfId="75" applyNumberFormat="1" applyFont="1" applyFill="1" applyBorder="1" applyAlignment="1">
      <alignment horizontal="center"/>
    </xf>
    <xf numFmtId="0" fontId="0" fillId="0" borderId="0" xfId="0" applyFill="1" applyBorder="1"/>
    <xf numFmtId="165" fontId="0" fillId="0" borderId="0" xfId="0" applyNumberFormat="1" applyFill="1" applyBorder="1" applyAlignment="1">
      <alignment horizontal="center"/>
    </xf>
    <xf numFmtId="10" fontId="0" fillId="0" borderId="0" xfId="0" applyNumberFormat="1" applyFill="1" applyBorder="1" applyAlignment="1">
      <alignment horizontal="center"/>
    </xf>
    <xf numFmtId="165" fontId="0" fillId="0" borderId="0" xfId="75" applyNumberFormat="1" applyFont="1" applyFill="1" applyBorder="1" applyAlignment="1">
      <alignment horizontal="center"/>
    </xf>
    <xf numFmtId="164" fontId="0" fillId="0" borderId="0" xfId="75" applyNumberFormat="1" applyFont="1" applyFill="1" applyBorder="1" applyAlignment="1">
      <alignment horizontal="center" vertical="center"/>
    </xf>
    <xf numFmtId="166" fontId="0" fillId="0" borderId="0" xfId="0" applyNumberFormat="1" applyFill="1" applyBorder="1" applyAlignment="1">
      <alignment horizontal="center"/>
    </xf>
    <xf numFmtId="0" fontId="0" fillId="0" borderId="0" xfId="0" applyBorder="1"/>
    <xf numFmtId="0" fontId="35" fillId="0" borderId="0" xfId="0" applyFont="1" applyFill="1"/>
    <xf numFmtId="165" fontId="0" fillId="31" borderId="18" xfId="0" applyNumberFormat="1" applyFill="1" applyBorder="1" applyAlignment="1">
      <alignment horizontal="center"/>
    </xf>
    <xf numFmtId="164" fontId="24" fillId="30" borderId="18" xfId="75" applyNumberFormat="1" applyFont="1" applyFill="1" applyBorder="1" applyAlignment="1">
      <alignment horizontal="center" vertical="center"/>
    </xf>
    <xf numFmtId="166" fontId="24" fillId="0" borderId="18" xfId="0" applyNumberFormat="1" applyFont="1" applyFill="1" applyBorder="1" applyAlignment="1">
      <alignment horizontal="center"/>
    </xf>
    <xf numFmtId="166" fontId="35" fillId="0" borderId="18" xfId="0" applyNumberFormat="1" applyFont="1" applyFill="1" applyBorder="1" applyAlignment="1">
      <alignment horizontal="center"/>
    </xf>
    <xf numFmtId="165" fontId="24" fillId="30" borderId="18" xfId="0" applyNumberFormat="1" applyFont="1" applyFill="1" applyBorder="1"/>
    <xf numFmtId="165" fontId="24" fillId="30" borderId="18" xfId="75" applyNumberFormat="1" applyFont="1" applyFill="1" applyBorder="1"/>
    <xf numFmtId="165" fontId="0" fillId="0" borderId="0" xfId="0" applyNumberFormat="1" applyFill="1" applyBorder="1"/>
    <xf numFmtId="165" fontId="0" fillId="0" borderId="0" xfId="75" applyNumberFormat="1" applyFont="1" applyFill="1" applyBorder="1"/>
    <xf numFmtId="0" fontId="0" fillId="0" borderId="0" xfId="0" applyFill="1" applyBorder="1" applyAlignment="1">
      <alignment horizontal="center"/>
    </xf>
    <xf numFmtId="4" fontId="0" fillId="0" borderId="0" xfId="0" applyNumberFormat="1" applyFill="1" applyBorder="1" applyAlignment="1">
      <alignment horizontal="center"/>
    </xf>
    <xf numFmtId="167" fontId="42" fillId="0" borderId="0" xfId="0" applyNumberFormat="1" applyFont="1" applyFill="1" applyBorder="1"/>
    <xf numFmtId="10" fontId="42" fillId="0" borderId="0" xfId="0" applyNumberFormat="1" applyFont="1" applyBorder="1"/>
    <xf numFmtId="167" fontId="0" fillId="0" borderId="0" xfId="0" applyNumberFormat="1" applyFill="1" applyBorder="1"/>
    <xf numFmtId="10" fontId="0" fillId="0" borderId="0" xfId="0" applyNumberFormat="1" applyBorder="1"/>
    <xf numFmtId="0" fontId="42" fillId="0" borderId="0" xfId="0" applyFont="1" applyAlignment="1">
      <alignment vertical="center"/>
    </xf>
    <xf numFmtId="0" fontId="42" fillId="0" borderId="0" xfId="0" applyFont="1"/>
    <xf numFmtId="0" fontId="0" fillId="0" borderId="23" xfId="0" applyBorder="1"/>
    <xf numFmtId="0" fontId="35" fillId="0" borderId="28" xfId="0" applyFont="1" applyBorder="1"/>
    <xf numFmtId="0" fontId="35" fillId="0" borderId="29" xfId="0" applyFont="1" applyBorder="1"/>
    <xf numFmtId="0" fontId="35" fillId="0" borderId="19" xfId="0" applyFont="1" applyBorder="1"/>
    <xf numFmtId="0" fontId="35" fillId="0" borderId="23" xfId="0" applyFont="1" applyBorder="1"/>
    <xf numFmtId="3" fontId="35" fillId="0" borderId="28" xfId="0" applyNumberFormat="1" applyFont="1" applyBorder="1"/>
    <xf numFmtId="3" fontId="35" fillId="0" borderId="18" xfId="0" applyNumberFormat="1" applyFont="1" applyBorder="1"/>
    <xf numFmtId="3" fontId="35" fillId="0" borderId="29" xfId="0" applyNumberFormat="1" applyFont="1" applyBorder="1"/>
    <xf numFmtId="3" fontId="0" fillId="0" borderId="19" xfId="0" applyNumberFormat="1" applyBorder="1"/>
    <xf numFmtId="3" fontId="0" fillId="0" borderId="18" xfId="0" applyNumberFormat="1" applyBorder="1"/>
    <xf numFmtId="3" fontId="0" fillId="0" borderId="23" xfId="0" applyNumberFormat="1" applyBorder="1"/>
    <xf numFmtId="0" fontId="0" fillId="0" borderId="29" xfId="0" applyBorder="1"/>
    <xf numFmtId="3" fontId="0" fillId="0" borderId="28" xfId="0" applyNumberFormat="1" applyBorder="1"/>
    <xf numFmtId="3" fontId="0" fillId="0" borderId="29" xfId="0" applyNumberFormat="1" applyBorder="1"/>
    <xf numFmtId="3" fontId="35" fillId="16" borderId="28" xfId="0" applyNumberFormat="1" applyFont="1" applyFill="1" applyBorder="1"/>
    <xf numFmtId="3" fontId="35" fillId="16" borderId="18" xfId="0" applyNumberFormat="1" applyFont="1" applyFill="1" applyBorder="1"/>
    <xf numFmtId="3" fontId="35" fillId="16" borderId="29" xfId="0" applyNumberFormat="1" applyFont="1" applyFill="1" applyBorder="1"/>
    <xf numFmtId="3" fontId="35" fillId="16" borderId="19" xfId="0" applyNumberFormat="1" applyFont="1" applyFill="1" applyBorder="1"/>
    <xf numFmtId="3" fontId="35" fillId="16" borderId="23" xfId="0" applyNumberFormat="1" applyFont="1" applyFill="1" applyBorder="1"/>
    <xf numFmtId="0" fontId="0" fillId="0" borderId="23" xfId="0" applyBorder="1" applyAlignment="1">
      <alignment horizontal="right"/>
    </xf>
    <xf numFmtId="0" fontId="48" fillId="0" borderId="0" xfId="0" applyFont="1"/>
    <xf numFmtId="0" fontId="51" fillId="0" borderId="85" xfId="0" applyFont="1" applyBorder="1" applyAlignment="1">
      <alignment vertical="center"/>
    </xf>
    <xf numFmtId="0" fontId="51" fillId="0" borderId="84" xfId="0" applyFont="1" applyBorder="1" applyAlignment="1">
      <alignment vertical="center"/>
    </xf>
    <xf numFmtId="3" fontId="52" fillId="0" borderId="85" xfId="0" applyNumberFormat="1" applyFont="1" applyBorder="1" applyAlignment="1">
      <alignment horizontal="right" vertical="center"/>
    </xf>
    <xf numFmtId="0" fontId="52" fillId="0" borderId="85" xfId="0" applyFont="1" applyBorder="1" applyAlignment="1">
      <alignment horizontal="right" vertical="center"/>
    </xf>
    <xf numFmtId="3" fontId="51" fillId="0" borderId="85" xfId="0" applyNumberFormat="1" applyFont="1" applyBorder="1" applyAlignment="1">
      <alignment horizontal="right" vertical="center"/>
    </xf>
    <xf numFmtId="0" fontId="49" fillId="0" borderId="0" xfId="0" applyFont="1" applyAlignment="1">
      <alignment vertical="center"/>
    </xf>
    <xf numFmtId="0" fontId="53" fillId="0" borderId="0" xfId="0" applyFont="1" applyAlignment="1">
      <alignment vertical="center"/>
    </xf>
    <xf numFmtId="0" fontId="15" fillId="0" borderId="0" xfId="0" applyFont="1"/>
    <xf numFmtId="0" fontId="9" fillId="0" borderId="18" xfId="0" applyFont="1" applyBorder="1" applyAlignment="1">
      <alignment horizontal="center"/>
    </xf>
    <xf numFmtId="0" fontId="15" fillId="0" borderId="18" xfId="0" applyFont="1" applyBorder="1" applyAlignment="1">
      <alignment horizontal="center"/>
    </xf>
    <xf numFmtId="166" fontId="0" fillId="0" borderId="18" xfId="76" applyNumberFormat="1" applyFont="1" applyBorder="1" applyAlignment="1">
      <alignment horizontal="center"/>
    </xf>
    <xf numFmtId="0" fontId="0" fillId="0" borderId="18" xfId="0" applyFont="1" applyBorder="1" applyAlignment="1">
      <alignment wrapText="1"/>
    </xf>
    <xf numFmtId="0" fontId="0" fillId="0" borderId="18" xfId="0" applyFont="1" applyBorder="1"/>
    <xf numFmtId="0" fontId="0" fillId="0" borderId="18" xfId="0" applyFont="1" applyFill="1" applyBorder="1" applyAlignment="1">
      <alignment wrapText="1"/>
    </xf>
    <xf numFmtId="0" fontId="0" fillId="0" borderId="22" xfId="0" applyFill="1" applyBorder="1"/>
    <xf numFmtId="0" fontId="9" fillId="0" borderId="0" xfId="0" applyFont="1" applyBorder="1" applyAlignment="1">
      <alignment vertical="top" wrapText="1"/>
    </xf>
    <xf numFmtId="0" fontId="9" fillId="15" borderId="0" xfId="0" applyFont="1" applyFill="1" applyBorder="1" applyAlignment="1">
      <alignment vertical="top" wrapText="1"/>
    </xf>
    <xf numFmtId="0" fontId="15" fillId="15" borderId="0" xfId="0" applyFont="1" applyFill="1" applyBorder="1" applyAlignment="1">
      <alignment vertical="top" wrapText="1"/>
    </xf>
    <xf numFmtId="0" fontId="15" fillId="14" borderId="0" xfId="0" applyFont="1" applyFill="1" applyBorder="1" applyAlignment="1">
      <alignment horizontal="center" vertical="top" wrapText="1"/>
    </xf>
    <xf numFmtId="0" fontId="15" fillId="14" borderId="7" xfId="0" applyFont="1" applyFill="1" applyBorder="1" applyAlignment="1">
      <alignment horizontal="center" vertical="top" wrapText="1"/>
    </xf>
    <xf numFmtId="0" fontId="15" fillId="4" borderId="28" xfId="0" applyFont="1" applyFill="1" applyBorder="1" applyAlignment="1">
      <alignment vertical="top" wrapText="1"/>
    </xf>
    <xf numFmtId="0" fontId="15" fillId="4" borderId="18" xfId="0" applyFont="1" applyFill="1" applyBorder="1" applyAlignment="1">
      <alignment vertical="top" wrapText="1"/>
    </xf>
    <xf numFmtId="0" fontId="15" fillId="4" borderId="29" xfId="0" applyFont="1" applyFill="1" applyBorder="1" applyAlignment="1">
      <alignment vertical="top" wrapText="1"/>
    </xf>
    <xf numFmtId="0" fontId="9" fillId="15" borderId="28" xfId="0" applyFont="1" applyFill="1" applyBorder="1" applyAlignment="1">
      <alignment horizontal="center" vertical="top" wrapText="1"/>
    </xf>
    <xf numFmtId="0" fontId="9" fillId="15" borderId="18" xfId="0" applyFont="1" applyFill="1" applyBorder="1" applyAlignment="1">
      <alignment horizontal="center" vertical="top" wrapText="1"/>
    </xf>
    <xf numFmtId="0" fontId="9" fillId="15" borderId="29" xfId="0" applyFont="1" applyFill="1" applyBorder="1" applyAlignment="1">
      <alignment horizontal="center" vertical="top" wrapText="1"/>
    </xf>
    <xf numFmtId="0" fontId="15" fillId="15" borderId="43" xfId="0" applyFont="1" applyFill="1" applyBorder="1" applyAlignment="1">
      <alignment horizontal="center" vertical="top" wrapText="1"/>
    </xf>
    <xf numFmtId="0" fontId="15" fillId="15" borderId="41" xfId="0" applyFont="1" applyFill="1" applyBorder="1" applyAlignment="1">
      <alignment horizontal="center" vertical="top" wrapText="1"/>
    </xf>
    <xf numFmtId="0" fontId="15" fillId="15" borderId="3" xfId="0" applyFont="1" applyFill="1" applyBorder="1" applyAlignment="1">
      <alignment horizontal="center" vertical="top" wrapText="1"/>
    </xf>
    <xf numFmtId="0" fontId="55" fillId="0" borderId="7" xfId="0" applyFont="1" applyBorder="1" applyAlignment="1">
      <alignment vertical="center" wrapText="1"/>
    </xf>
    <xf numFmtId="0" fontId="9" fillId="14" borderId="19" xfId="0" applyFont="1" applyFill="1" applyBorder="1" applyAlignment="1">
      <alignment vertical="top" wrapText="1"/>
    </xf>
    <xf numFmtId="0" fontId="9" fillId="14" borderId="18" xfId="0" applyFont="1" applyFill="1" applyBorder="1" applyAlignment="1">
      <alignment vertical="top" wrapText="1"/>
    </xf>
    <xf numFmtId="0" fontId="9" fillId="14" borderId="23" xfId="0" applyFont="1" applyFill="1" applyBorder="1" applyAlignment="1">
      <alignment vertical="top" wrapText="1"/>
    </xf>
    <xf numFmtId="0" fontId="9" fillId="0" borderId="19" xfId="0" applyFont="1" applyFill="1" applyBorder="1" applyAlignment="1">
      <alignment horizontal="center" vertical="top" wrapText="1"/>
    </xf>
    <xf numFmtId="0" fontId="9" fillId="0" borderId="18" xfId="0" applyFont="1" applyFill="1" applyBorder="1" applyAlignment="1">
      <alignment horizontal="center" vertical="top" wrapText="1"/>
    </xf>
    <xf numFmtId="0" fontId="9" fillId="0" borderId="29" xfId="0" applyFont="1" applyFill="1" applyBorder="1" applyAlignment="1">
      <alignment horizontal="center" vertical="top" wrapText="1"/>
    </xf>
    <xf numFmtId="0" fontId="9" fillId="0" borderId="23" xfId="0" applyFont="1" applyFill="1" applyBorder="1" applyAlignment="1">
      <alignment horizontal="center" vertical="top" wrapText="1"/>
    </xf>
    <xf numFmtId="0" fontId="9" fillId="0" borderId="40" xfId="0" applyFont="1" applyFill="1" applyBorder="1" applyAlignment="1">
      <alignment vertical="top" wrapText="1"/>
    </xf>
    <xf numFmtId="0" fontId="9" fillId="0" borderId="5" xfId="0" applyFont="1" applyFill="1" applyBorder="1" applyAlignment="1">
      <alignment vertical="top" wrapText="1"/>
    </xf>
    <xf numFmtId="0" fontId="9" fillId="0" borderId="4" xfId="0" applyFont="1" applyFill="1" applyBorder="1" applyAlignment="1">
      <alignment vertical="top" wrapText="1"/>
    </xf>
    <xf numFmtId="0" fontId="15" fillId="8" borderId="1" xfId="0" applyFont="1" applyFill="1" applyBorder="1" applyAlignment="1">
      <alignment vertical="top" wrapText="1"/>
    </xf>
    <xf numFmtId="0" fontId="9" fillId="15" borderId="0" xfId="0" applyFont="1" applyFill="1" applyBorder="1" applyAlignment="1">
      <alignment horizontal="center" vertical="top" wrapText="1"/>
    </xf>
    <xf numFmtId="0" fontId="9" fillId="15" borderId="2" xfId="0" applyFont="1" applyFill="1" applyBorder="1" applyAlignment="1">
      <alignment horizontal="center" vertical="top" wrapText="1"/>
    </xf>
    <xf numFmtId="0" fontId="21" fillId="0" borderId="0" xfId="0" applyFont="1" applyBorder="1" applyAlignment="1">
      <alignment horizontal="center" vertical="top" wrapText="1"/>
    </xf>
    <xf numFmtId="0" fontId="21" fillId="15" borderId="0" xfId="0" applyFont="1" applyFill="1" applyBorder="1" applyAlignment="1">
      <alignment vertical="top" wrapText="1"/>
    </xf>
    <xf numFmtId="0" fontId="9" fillId="0" borderId="8" xfId="0" applyFont="1" applyBorder="1" applyAlignment="1">
      <alignment horizontal="center" vertical="top" wrapText="1"/>
    </xf>
    <xf numFmtId="0" fontId="21" fillId="15" borderId="12" xfId="0" applyFont="1" applyFill="1" applyBorder="1" applyAlignment="1"/>
    <xf numFmtId="0" fontId="21" fillId="15" borderId="11" xfId="0" applyFont="1" applyFill="1" applyBorder="1" applyAlignment="1"/>
    <xf numFmtId="0" fontId="9" fillId="0" borderId="8" xfId="0" applyFont="1" applyBorder="1" applyAlignment="1">
      <alignment vertical="top" wrapText="1"/>
    </xf>
    <xf numFmtId="0" fontId="56" fillId="0" borderId="11" xfId="0" applyFont="1" applyBorder="1" applyAlignment="1">
      <alignment horizontal="center" vertical="top" wrapText="1"/>
    </xf>
    <xf numFmtId="0" fontId="56" fillId="0" borderId="10" xfId="0" applyFont="1" applyBorder="1" applyAlignment="1">
      <alignment horizontal="center" vertical="top" wrapText="1"/>
    </xf>
    <xf numFmtId="0" fontId="56" fillId="15" borderId="11" xfId="0" applyFont="1" applyFill="1" applyBorder="1" applyAlignment="1">
      <alignment horizontal="center" vertical="top" wrapText="1"/>
    </xf>
    <xf numFmtId="0" fontId="56" fillId="15" borderId="10" xfId="0" applyFont="1" applyFill="1" applyBorder="1" applyAlignment="1">
      <alignment horizontal="center" vertical="top" wrapText="1"/>
    </xf>
    <xf numFmtId="0" fontId="56" fillId="0" borderId="0" xfId="0" applyNumberFormat="1" applyFont="1" applyBorder="1" applyAlignment="1">
      <alignment horizontal="center" vertical="top" wrapText="1"/>
    </xf>
    <xf numFmtId="0" fontId="56" fillId="0" borderId="0" xfId="0" applyNumberFormat="1" applyFont="1" applyFill="1" applyBorder="1" applyAlignment="1">
      <alignment horizontal="center" vertical="top" wrapText="1"/>
    </xf>
    <xf numFmtId="0" fontId="56" fillId="0" borderId="2" xfId="0" applyNumberFormat="1" applyFont="1" applyFill="1" applyBorder="1" applyAlignment="1">
      <alignment horizontal="center" vertical="top" wrapText="1"/>
    </xf>
    <xf numFmtId="9" fontId="9" fillId="0" borderId="18" xfId="0" applyNumberFormat="1" applyFont="1" applyBorder="1" applyAlignment="1">
      <alignment horizontal="center" vertical="top" wrapText="1"/>
    </xf>
    <xf numFmtId="0" fontId="9" fillId="0" borderId="18" xfId="0" applyFont="1" applyBorder="1" applyAlignment="1">
      <alignment horizontal="center" vertical="top" wrapText="1"/>
    </xf>
    <xf numFmtId="0" fontId="9" fillId="0" borderId="18" xfId="0" applyFont="1" applyBorder="1" applyAlignment="1">
      <alignment horizontal="center" vertical="top"/>
    </xf>
    <xf numFmtId="0" fontId="9" fillId="14" borderId="0" xfId="0" applyFont="1" applyFill="1" applyBorder="1"/>
    <xf numFmtId="0" fontId="9" fillId="0" borderId="30" xfId="0" applyFont="1" applyBorder="1" applyAlignment="1">
      <alignment vertical="center" wrapText="1"/>
    </xf>
    <xf numFmtId="0" fontId="9" fillId="0" borderId="21" xfId="0" applyFont="1" applyBorder="1" applyAlignment="1">
      <alignment horizontal="center" vertical="top" wrapText="1"/>
    </xf>
    <xf numFmtId="0" fontId="15" fillId="4" borderId="33" xfId="0" applyFont="1" applyFill="1" applyBorder="1" applyAlignment="1">
      <alignment vertical="top" wrapText="1"/>
    </xf>
    <xf numFmtId="0" fontId="15" fillId="4" borderId="34" xfId="0" applyFont="1" applyFill="1" applyBorder="1" applyAlignment="1">
      <alignment vertical="top" wrapText="1"/>
    </xf>
    <xf numFmtId="0" fontId="9" fillId="7" borderId="1" xfId="0" applyFont="1" applyFill="1" applyBorder="1" applyAlignment="1">
      <alignment vertical="top" wrapText="1"/>
    </xf>
    <xf numFmtId="0" fontId="56" fillId="17" borderId="0" xfId="0" applyFont="1" applyFill="1" applyBorder="1" applyAlignment="1">
      <alignment horizontal="center" vertical="top" wrapText="1"/>
    </xf>
    <xf numFmtId="0" fontId="56" fillId="17" borderId="2" xfId="0" applyFont="1" applyFill="1" applyBorder="1" applyAlignment="1">
      <alignment horizontal="center" vertical="top" wrapText="1"/>
    </xf>
    <xf numFmtId="0" fontId="9" fillId="17" borderId="7" xfId="0" applyFont="1" applyFill="1" applyBorder="1" applyAlignment="1">
      <alignment vertical="top" wrapText="1"/>
    </xf>
    <xf numFmtId="0" fontId="9" fillId="17" borderId="0" xfId="0" applyFont="1" applyFill="1" applyBorder="1" applyAlignment="1">
      <alignment vertical="top" wrapText="1"/>
    </xf>
    <xf numFmtId="0" fontId="9" fillId="17" borderId="2" xfId="0" applyFont="1" applyFill="1" applyBorder="1" applyAlignment="1">
      <alignment vertical="top" wrapText="1"/>
    </xf>
    <xf numFmtId="9" fontId="9" fillId="0" borderId="0" xfId="0" applyNumberFormat="1" applyFont="1" applyFill="1" applyBorder="1" applyAlignment="1">
      <alignment horizontal="center" vertical="top" wrapText="1"/>
    </xf>
    <xf numFmtId="0" fontId="9" fillId="17" borderId="0" xfId="0" applyFont="1" applyFill="1" applyBorder="1" applyAlignment="1">
      <alignment vertical="top"/>
    </xf>
    <xf numFmtId="0" fontId="15" fillId="17" borderId="0" xfId="0" applyFont="1" applyFill="1" applyBorder="1" applyAlignment="1">
      <alignment vertical="top" wrapText="1"/>
    </xf>
    <xf numFmtId="0" fontId="9" fillId="0" borderId="0" xfId="0" applyFont="1" applyFill="1" applyBorder="1" applyAlignment="1">
      <alignment vertical="top" wrapText="1"/>
    </xf>
    <xf numFmtId="3" fontId="9" fillId="0" borderId="18" xfId="0" applyNumberFormat="1" applyFont="1" applyFill="1" applyBorder="1" applyAlignment="1">
      <alignment horizontal="center" vertical="top" wrapText="1"/>
    </xf>
    <xf numFmtId="0" fontId="9" fillId="0" borderId="28" xfId="0" applyFont="1" applyBorder="1" applyAlignment="1">
      <alignment horizontal="left" vertical="top" wrapText="1"/>
    </xf>
    <xf numFmtId="0" fontId="15" fillId="0" borderId="1" xfId="0" applyFont="1" applyFill="1" applyBorder="1" applyAlignment="1">
      <alignment vertical="top" wrapText="1"/>
    </xf>
    <xf numFmtId="0" fontId="56" fillId="17" borderId="11" xfId="0" applyFont="1" applyFill="1" applyBorder="1" applyAlignment="1">
      <alignment horizontal="center" vertical="top" wrapText="1"/>
    </xf>
    <xf numFmtId="0" fontId="56" fillId="17" borderId="10" xfId="0" applyFont="1" applyFill="1" applyBorder="1" applyAlignment="1">
      <alignment horizontal="center" vertical="top" wrapText="1"/>
    </xf>
    <xf numFmtId="3" fontId="9" fillId="0" borderId="18" xfId="0" applyNumberFormat="1" applyFont="1" applyFill="1" applyBorder="1" applyAlignment="1">
      <alignment horizontal="left" vertical="top" wrapText="1"/>
    </xf>
    <xf numFmtId="1" fontId="9" fillId="17" borderId="0" xfId="0" applyNumberFormat="1" applyFont="1" applyFill="1" applyBorder="1" applyAlignment="1">
      <alignment horizontal="center" vertical="top" wrapText="1"/>
    </xf>
    <xf numFmtId="0" fontId="9" fillId="0" borderId="7" xfId="0" applyFont="1" applyBorder="1" applyAlignment="1">
      <alignment horizontal="center" vertical="top" wrapText="1"/>
    </xf>
    <xf numFmtId="3" fontId="9" fillId="0" borderId="18" xfId="0" applyNumberFormat="1" applyFont="1" applyBorder="1" applyAlignment="1">
      <alignment horizontal="center" vertical="top" wrapText="1"/>
    </xf>
    <xf numFmtId="0" fontId="15" fillId="0" borderId="2" xfId="0" applyFont="1" applyBorder="1" applyAlignment="1">
      <alignment horizontal="center" vertical="top" wrapText="1"/>
    </xf>
    <xf numFmtId="0" fontId="9" fillId="0" borderId="6" xfId="0" applyFont="1" applyBorder="1" applyAlignment="1">
      <alignment horizontal="center" vertical="top" wrapText="1"/>
    </xf>
    <xf numFmtId="0" fontId="9" fillId="0" borderId="5" xfId="0" applyFont="1" applyBorder="1" applyAlignment="1">
      <alignment vertical="top" wrapText="1"/>
    </xf>
    <xf numFmtId="0" fontId="9" fillId="0" borderId="4" xfId="0" applyFont="1" applyBorder="1" applyAlignment="1">
      <alignment vertical="top" wrapText="1"/>
    </xf>
    <xf numFmtId="0" fontId="9" fillId="0" borderId="6"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5" xfId="0" applyFont="1" applyBorder="1" applyAlignment="1">
      <alignment horizontal="center" vertical="top" wrapText="1"/>
    </xf>
    <xf numFmtId="0" fontId="9" fillId="0" borderId="4" xfId="0" applyFont="1" applyBorder="1" applyAlignment="1">
      <alignment horizontal="center" vertical="top" wrapText="1"/>
    </xf>
    <xf numFmtId="0" fontId="20" fillId="4" borderId="18" xfId="0" applyFont="1" applyFill="1" applyBorder="1" applyAlignment="1">
      <alignment vertical="top" wrapText="1"/>
    </xf>
    <xf numFmtId="0" fontId="20" fillId="4" borderId="18" xfId="0" applyFont="1" applyFill="1" applyBorder="1" applyAlignment="1">
      <alignment horizontal="center" vertical="top" wrapText="1"/>
    </xf>
    <xf numFmtId="0" fontId="20" fillId="0" borderId="2" xfId="0" applyFont="1" applyBorder="1" applyAlignment="1">
      <alignment horizontal="center" vertical="top" wrapText="1"/>
    </xf>
    <xf numFmtId="0" fontId="20" fillId="4" borderId="21" xfId="0" applyFont="1" applyFill="1" applyBorder="1" applyAlignment="1">
      <alignment vertical="top" wrapText="1"/>
    </xf>
    <xf numFmtId="0" fontId="20" fillId="4" borderId="21" xfId="0" applyFont="1" applyFill="1" applyBorder="1" applyAlignment="1">
      <alignment horizontal="center" vertical="top" wrapText="1"/>
    </xf>
    <xf numFmtId="0" fontId="20" fillId="4" borderId="27" xfId="0" applyFont="1" applyFill="1" applyBorder="1" applyAlignment="1">
      <alignment horizontal="center" vertical="top" wrapText="1"/>
    </xf>
    <xf numFmtId="0" fontId="20" fillId="4" borderId="38" xfId="0" applyFont="1" applyFill="1" applyBorder="1" applyAlignment="1">
      <alignment horizontal="center" vertical="top" wrapText="1"/>
    </xf>
    <xf numFmtId="0" fontId="20" fillId="4" borderId="33" xfId="0" applyFont="1" applyFill="1" applyBorder="1" applyAlignment="1">
      <alignment horizontal="center" vertical="top" wrapText="1"/>
    </xf>
    <xf numFmtId="0" fontId="20" fillId="4" borderId="34" xfId="0" applyFont="1" applyFill="1" applyBorder="1" applyAlignment="1">
      <alignment horizontal="center" vertical="top" wrapText="1"/>
    </xf>
    <xf numFmtId="3" fontId="11" fillId="0" borderId="39" xfId="0" applyNumberFormat="1" applyFont="1" applyBorder="1" applyAlignment="1">
      <alignment horizontal="center" vertical="top" wrapText="1"/>
    </xf>
    <xf numFmtId="0" fontId="11" fillId="0" borderId="7" xfId="0" applyFont="1" applyBorder="1" applyAlignment="1">
      <alignment horizontal="center" vertical="top" wrapText="1"/>
    </xf>
    <xf numFmtId="3" fontId="9" fillId="0" borderId="19" xfId="0" applyNumberFormat="1" applyFont="1" applyBorder="1" applyAlignment="1">
      <alignment horizontal="center" vertical="top" wrapText="1"/>
    </xf>
    <xf numFmtId="3" fontId="9" fillId="0" borderId="23" xfId="0" applyNumberFormat="1" applyFont="1" applyBorder="1" applyAlignment="1">
      <alignment horizontal="center" vertical="top" wrapText="1"/>
    </xf>
    <xf numFmtId="3" fontId="9" fillId="0" borderId="28" xfId="0" applyNumberFormat="1" applyFont="1" applyBorder="1" applyAlignment="1">
      <alignment horizontal="center" vertical="top" wrapText="1"/>
    </xf>
    <xf numFmtId="3" fontId="9" fillId="0" borderId="29" xfId="0" applyNumberFormat="1" applyFont="1" applyBorder="1" applyAlignment="1">
      <alignment horizontal="center" vertical="top" wrapText="1"/>
    </xf>
    <xf numFmtId="3" fontId="9" fillId="0" borderId="28" xfId="0" applyNumberFormat="1" applyFont="1" applyFill="1" applyBorder="1" applyAlignment="1">
      <alignment horizontal="center" vertical="top" wrapText="1"/>
    </xf>
    <xf numFmtId="3" fontId="9" fillId="0" borderId="23" xfId="0" applyNumberFormat="1" applyFont="1" applyFill="1" applyBorder="1" applyAlignment="1">
      <alignment horizontal="center" vertical="top" wrapText="1"/>
    </xf>
    <xf numFmtId="3" fontId="9" fillId="0" borderId="29" xfId="0" applyNumberFormat="1" applyFont="1" applyFill="1" applyBorder="1" applyAlignment="1">
      <alignment horizontal="center" vertical="top" wrapText="1"/>
    </xf>
    <xf numFmtId="3" fontId="9" fillId="0" borderId="5" xfId="0" applyNumberFormat="1" applyFont="1" applyFill="1" applyBorder="1" applyAlignment="1">
      <alignment horizontal="center" vertical="top" wrapText="1"/>
    </xf>
    <xf numFmtId="3" fontId="9" fillId="0" borderId="4" xfId="0" applyNumberFormat="1" applyFont="1" applyFill="1" applyBorder="1" applyAlignment="1">
      <alignment horizontal="center" vertical="top" wrapText="1"/>
    </xf>
    <xf numFmtId="3" fontId="11" fillId="0" borderId="18" xfId="0" applyNumberFormat="1" applyFont="1" applyBorder="1" applyAlignment="1">
      <alignment horizontal="center" vertical="top" wrapText="1"/>
    </xf>
    <xf numFmtId="3" fontId="9" fillId="17" borderId="18" xfId="0" applyNumberFormat="1" applyFont="1" applyFill="1" applyBorder="1" applyAlignment="1">
      <alignment horizontal="center" vertical="top" wrapText="1"/>
    </xf>
    <xf numFmtId="3" fontId="9" fillId="15" borderId="5" xfId="0" applyNumberFormat="1" applyFont="1" applyFill="1" applyBorder="1" applyAlignment="1">
      <alignment horizontal="center" vertical="top" wrapText="1"/>
    </xf>
    <xf numFmtId="3" fontId="9" fillId="0" borderId="6" xfId="0" applyNumberFormat="1" applyFont="1" applyBorder="1" applyAlignment="1">
      <alignment horizontal="center" vertical="top" wrapText="1"/>
    </xf>
    <xf numFmtId="3" fontId="9" fillId="0" borderId="5" xfId="0" applyNumberFormat="1" applyFont="1" applyBorder="1" applyAlignment="1">
      <alignment horizontal="center" vertical="top" wrapText="1"/>
    </xf>
    <xf numFmtId="3" fontId="9" fillId="0" borderId="4" xfId="0" applyNumberFormat="1" applyFont="1" applyBorder="1" applyAlignment="1">
      <alignment horizontal="center" vertical="top" wrapText="1"/>
    </xf>
    <xf numFmtId="3" fontId="9" fillId="0" borderId="25" xfId="0" applyNumberFormat="1" applyFont="1" applyBorder="1" applyAlignment="1">
      <alignment horizontal="center" vertical="top" wrapText="1"/>
    </xf>
    <xf numFmtId="3" fontId="9" fillId="0" borderId="21" xfId="0" applyNumberFormat="1" applyFont="1" applyBorder="1" applyAlignment="1">
      <alignment horizontal="center" vertical="top" wrapText="1"/>
    </xf>
    <xf numFmtId="3" fontId="9" fillId="0" borderId="44" xfId="0" applyNumberFormat="1" applyFont="1" applyBorder="1" applyAlignment="1">
      <alignment horizontal="center" vertical="top" wrapText="1"/>
    </xf>
    <xf numFmtId="3" fontId="9" fillId="0" borderId="70" xfId="0" applyNumberFormat="1" applyFont="1" applyBorder="1" applyAlignment="1">
      <alignment horizontal="center" vertical="top" wrapText="1"/>
    </xf>
    <xf numFmtId="3" fontId="9" fillId="0" borderId="91" xfId="0" applyNumberFormat="1" applyFont="1" applyBorder="1" applyAlignment="1">
      <alignment horizontal="center" vertical="top" wrapText="1"/>
    </xf>
    <xf numFmtId="0" fontId="11" fillId="0" borderId="88" xfId="0" applyFont="1" applyBorder="1" applyAlignment="1">
      <alignment horizontal="center" vertical="top" wrapText="1"/>
    </xf>
    <xf numFmtId="3" fontId="9" fillId="0" borderId="93" xfId="76" applyNumberFormat="1" applyFont="1" applyBorder="1" applyAlignment="1">
      <alignment horizontal="center" vertical="top" wrapText="1"/>
    </xf>
    <xf numFmtId="3" fontId="9" fillId="0" borderId="94" xfId="76" applyNumberFormat="1" applyFont="1" applyBorder="1" applyAlignment="1">
      <alignment horizontal="center" vertical="top" wrapText="1"/>
    </xf>
    <xf numFmtId="3" fontId="9" fillId="0" borderId="95" xfId="76" applyNumberFormat="1" applyFont="1" applyBorder="1" applyAlignment="1">
      <alignment horizontal="center" vertical="top" wrapText="1"/>
    </xf>
    <xf numFmtId="3" fontId="11" fillId="0" borderId="71" xfId="0" applyNumberFormat="1" applyFont="1" applyBorder="1" applyAlignment="1">
      <alignment horizontal="left" vertical="top" wrapText="1"/>
    </xf>
    <xf numFmtId="3" fontId="11" fillId="0" borderId="24" xfId="0" applyNumberFormat="1" applyFont="1" applyBorder="1" applyAlignment="1">
      <alignment horizontal="left" vertical="top" wrapText="1"/>
    </xf>
    <xf numFmtId="3" fontId="11" fillId="0" borderId="24" xfId="0" applyNumberFormat="1" applyFont="1" applyBorder="1" applyAlignment="1">
      <alignment horizontal="center" vertical="top" wrapText="1"/>
    </xf>
    <xf numFmtId="3" fontId="11" fillId="0" borderId="92" xfId="0" applyNumberFormat="1" applyFont="1" applyBorder="1" applyAlignment="1">
      <alignment horizontal="center" vertical="top" wrapText="1"/>
    </xf>
    <xf numFmtId="1" fontId="9" fillId="0" borderId="28" xfId="0" applyNumberFormat="1" applyFont="1" applyBorder="1" applyAlignment="1">
      <alignment horizontal="center" vertical="top" wrapText="1"/>
    </xf>
    <xf numFmtId="1" fontId="9" fillId="0" borderId="18" xfId="0" applyNumberFormat="1" applyFont="1" applyBorder="1" applyAlignment="1">
      <alignment horizontal="center" vertical="top" wrapText="1"/>
    </xf>
    <xf numFmtId="1" fontId="9" fillId="0" borderId="18" xfId="0" applyNumberFormat="1" applyFont="1" applyBorder="1" applyAlignment="1">
      <alignment horizontal="center" wrapText="1"/>
    </xf>
    <xf numFmtId="1" fontId="9" fillId="0" borderId="18" xfId="0" applyNumberFormat="1" applyFont="1" applyBorder="1" applyAlignment="1">
      <alignment horizontal="center"/>
    </xf>
    <xf numFmtId="1" fontId="9" fillId="0" borderId="29" xfId="0" applyNumberFormat="1" applyFont="1" applyBorder="1" applyAlignment="1">
      <alignment horizontal="center"/>
    </xf>
    <xf numFmtId="1" fontId="9" fillId="0" borderId="6" xfId="0" applyNumberFormat="1" applyFont="1" applyBorder="1" applyAlignment="1">
      <alignment horizontal="center" vertical="top" wrapText="1"/>
    </xf>
    <xf numFmtId="1" fontId="9" fillId="0" borderId="5" xfId="0" applyNumberFormat="1" applyFont="1" applyBorder="1" applyAlignment="1">
      <alignment horizontal="center" vertical="top" wrapText="1"/>
    </xf>
    <xf numFmtId="1" fontId="9" fillId="0" borderId="5" xfId="0" applyNumberFormat="1" applyFont="1" applyBorder="1" applyAlignment="1">
      <alignment horizontal="center" wrapText="1"/>
    </xf>
    <xf numFmtId="1" fontId="9" fillId="0" borderId="5" xfId="0" applyNumberFormat="1" applyFont="1" applyBorder="1" applyAlignment="1">
      <alignment horizontal="center"/>
    </xf>
    <xf numFmtId="1" fontId="9" fillId="0" borderId="4" xfId="0" applyNumberFormat="1" applyFont="1" applyBorder="1" applyAlignment="1">
      <alignment horizontal="center"/>
    </xf>
    <xf numFmtId="1" fontId="9" fillId="0" borderId="29" xfId="0" applyNumberFormat="1" applyFont="1" applyBorder="1" applyAlignment="1">
      <alignment horizontal="center" vertical="top" wrapText="1"/>
    </xf>
    <xf numFmtId="0" fontId="9" fillId="0" borderId="0" xfId="0" applyFont="1" applyBorder="1"/>
    <xf numFmtId="3" fontId="9" fillId="0" borderId="17" xfId="0" applyNumberFormat="1" applyFont="1" applyBorder="1" applyAlignment="1">
      <alignment horizontal="center" vertical="top" wrapText="1"/>
    </xf>
    <xf numFmtId="3" fontId="9" fillId="0" borderId="70" xfId="76" applyNumberFormat="1" applyFont="1" applyBorder="1" applyAlignment="1">
      <alignment horizontal="center" vertical="top" wrapText="1"/>
    </xf>
    <xf numFmtId="3" fontId="9" fillId="0" borderId="21" xfId="76" applyNumberFormat="1" applyFont="1" applyBorder="1" applyAlignment="1">
      <alignment horizontal="center" vertical="top" wrapText="1"/>
    </xf>
    <xf numFmtId="3" fontId="9" fillId="0" borderId="44" xfId="76" applyNumberFormat="1" applyFont="1" applyBorder="1" applyAlignment="1">
      <alignment horizontal="center" vertical="top" wrapText="1"/>
    </xf>
    <xf numFmtId="3" fontId="11" fillId="0" borderId="98" xfId="0" applyNumberFormat="1" applyFont="1" applyBorder="1" applyAlignment="1">
      <alignment horizontal="left" vertical="top" wrapText="1"/>
    </xf>
    <xf numFmtId="3" fontId="11" fillId="0" borderId="99" xfId="0" applyNumberFormat="1" applyFont="1" applyBorder="1" applyAlignment="1">
      <alignment horizontal="left" vertical="top" wrapText="1"/>
    </xf>
    <xf numFmtId="3" fontId="11" fillId="0" borderId="99" xfId="0" applyNumberFormat="1" applyFont="1" applyBorder="1" applyAlignment="1">
      <alignment horizontal="center" vertical="top" wrapText="1"/>
    </xf>
    <xf numFmtId="3" fontId="11" fillId="0" borderId="100" xfId="0" applyNumberFormat="1" applyFont="1" applyBorder="1" applyAlignment="1">
      <alignment horizontal="center" vertical="top" wrapText="1"/>
    </xf>
    <xf numFmtId="3" fontId="9" fillId="0" borderId="96" xfId="0" applyNumberFormat="1" applyFont="1" applyBorder="1" applyAlignment="1">
      <alignment horizontal="center" vertical="top" wrapText="1"/>
    </xf>
    <xf numFmtId="3" fontId="9" fillId="0" borderId="94" xfId="0" applyNumberFormat="1" applyFont="1" applyBorder="1" applyAlignment="1">
      <alignment horizontal="center" vertical="top" wrapText="1"/>
    </xf>
    <xf numFmtId="3" fontId="9" fillId="0" borderId="97" xfId="0" applyNumberFormat="1" applyFont="1" applyBorder="1" applyAlignment="1">
      <alignment horizontal="center" vertical="top" wrapText="1"/>
    </xf>
    <xf numFmtId="0" fontId="9" fillId="0" borderId="48" xfId="0" applyFont="1" applyFill="1" applyBorder="1" applyAlignment="1">
      <alignment horizontal="center" vertical="top" wrapText="1"/>
    </xf>
    <xf numFmtId="0" fontId="9" fillId="0" borderId="40" xfId="0" applyFont="1" applyBorder="1" applyAlignment="1">
      <alignment horizontal="center" vertical="top" wrapText="1"/>
    </xf>
    <xf numFmtId="0" fontId="9" fillId="0" borderId="4" xfId="0" applyFont="1" applyFill="1" applyBorder="1" applyAlignment="1">
      <alignment horizontal="center" vertical="top" wrapText="1"/>
    </xf>
    <xf numFmtId="0" fontId="9" fillId="0" borderId="6" xfId="0" applyFont="1" applyBorder="1" applyAlignment="1">
      <alignment vertical="top" wrapText="1"/>
    </xf>
    <xf numFmtId="0" fontId="15" fillId="0" borderId="103" xfId="0" applyFont="1" applyBorder="1" applyAlignment="1">
      <alignment horizontal="center" vertical="top" wrapText="1"/>
    </xf>
    <xf numFmtId="0" fontId="15" fillId="3" borderId="88" xfId="0" applyFont="1" applyFill="1" applyBorder="1" applyAlignment="1">
      <alignment vertical="top" wrapText="1"/>
    </xf>
    <xf numFmtId="0" fontId="15" fillId="9" borderId="103" xfId="0" applyFont="1" applyFill="1" applyBorder="1" applyAlignment="1">
      <alignment vertical="top" wrapText="1"/>
    </xf>
    <xf numFmtId="0" fontId="15" fillId="9" borderId="90" xfId="0" applyFont="1" applyFill="1" applyBorder="1" applyAlignment="1">
      <alignment vertical="top" wrapText="1"/>
    </xf>
    <xf numFmtId="0" fontId="20" fillId="5" borderId="19" xfId="0" applyFont="1" applyFill="1" applyBorder="1" applyAlignment="1">
      <alignment vertical="top" wrapText="1"/>
    </xf>
    <xf numFmtId="0" fontId="20" fillId="0" borderId="103" xfId="0" applyFont="1" applyBorder="1" applyAlignment="1">
      <alignment horizontal="center" vertical="top" wrapText="1"/>
    </xf>
    <xf numFmtId="0" fontId="15" fillId="6" borderId="90" xfId="0" applyFont="1" applyFill="1" applyBorder="1" applyAlignment="1">
      <alignment vertical="top" wrapText="1"/>
    </xf>
    <xf numFmtId="0" fontId="15" fillId="9" borderId="104" xfId="0" applyFont="1" applyFill="1" applyBorder="1" applyAlignment="1">
      <alignment vertical="top" wrapText="1"/>
    </xf>
    <xf numFmtId="0" fontId="15" fillId="9" borderId="87" xfId="0" applyFont="1" applyFill="1" applyBorder="1" applyAlignment="1">
      <alignment vertical="top" wrapText="1"/>
    </xf>
    <xf numFmtId="0" fontId="15" fillId="9" borderId="32" xfId="0" applyFont="1" applyFill="1" applyBorder="1" applyAlignment="1">
      <alignment vertical="top" wrapText="1"/>
    </xf>
    <xf numFmtId="0" fontId="15" fillId="9" borderId="31" xfId="0" applyFont="1" applyFill="1" applyBorder="1" applyAlignment="1">
      <alignment vertical="top" wrapText="1"/>
    </xf>
    <xf numFmtId="0" fontId="15" fillId="6" borderId="87" xfId="0" applyFont="1" applyFill="1" applyBorder="1" applyAlignment="1">
      <alignment vertical="top" wrapText="1"/>
    </xf>
    <xf numFmtId="0" fontId="9" fillId="0" borderId="40" xfId="0" applyFont="1" applyFill="1" applyBorder="1" applyAlignment="1">
      <alignment horizontal="center" vertical="top" wrapText="1"/>
    </xf>
    <xf numFmtId="3" fontId="11" fillId="17" borderId="103" xfId="0" applyNumberFormat="1" applyFont="1" applyFill="1" applyBorder="1" applyAlignment="1">
      <alignment horizontal="left" vertical="top" wrapText="1"/>
    </xf>
    <xf numFmtId="3" fontId="11" fillId="17" borderId="102" xfId="0" applyNumberFormat="1" applyFont="1" applyFill="1" applyBorder="1" applyAlignment="1">
      <alignment horizontal="center" vertical="top" wrapText="1"/>
    </xf>
    <xf numFmtId="0" fontId="9" fillId="0" borderId="102" xfId="0" applyFont="1" applyFill="1" applyBorder="1" applyAlignment="1">
      <alignment horizontal="left"/>
    </xf>
    <xf numFmtId="3" fontId="9" fillId="0" borderId="102" xfId="0" applyNumberFormat="1" applyFont="1" applyFill="1" applyBorder="1" applyAlignment="1">
      <alignment horizontal="left" vertical="top" wrapText="1"/>
    </xf>
    <xf numFmtId="0" fontId="20" fillId="0" borderId="0" xfId="0" applyFont="1" applyBorder="1" applyAlignment="1">
      <alignment horizontal="center" vertical="top" wrapText="1"/>
    </xf>
    <xf numFmtId="0" fontId="11" fillId="0" borderId="1" xfId="0" applyFont="1" applyBorder="1" applyAlignment="1">
      <alignment horizontal="center" vertical="top" wrapText="1"/>
    </xf>
    <xf numFmtId="3" fontId="9" fillId="0" borderId="6" xfId="0" applyNumberFormat="1" applyFont="1" applyBorder="1" applyAlignment="1">
      <alignment horizontal="left" vertical="top" wrapText="1"/>
    </xf>
    <xf numFmtId="3" fontId="9" fillId="0" borderId="5" xfId="0" applyNumberFormat="1" applyFont="1" applyBorder="1" applyAlignment="1">
      <alignment horizontal="left" vertical="top" wrapText="1"/>
    </xf>
    <xf numFmtId="3" fontId="9" fillId="0" borderId="98" xfId="0" applyNumberFormat="1" applyFont="1" applyFill="1" applyBorder="1" applyAlignment="1">
      <alignment horizontal="center" vertical="top" wrapText="1"/>
    </xf>
    <xf numFmtId="3" fontId="9" fillId="0" borderId="99" xfId="0" applyNumberFormat="1" applyFont="1" applyFill="1" applyBorder="1" applyAlignment="1">
      <alignment horizontal="center" vertical="top" wrapText="1"/>
    </xf>
    <xf numFmtId="3" fontId="9" fillId="0" borderId="100" xfId="0" applyNumberFormat="1" applyFont="1" applyFill="1" applyBorder="1" applyAlignment="1">
      <alignment horizontal="center" vertical="top" wrapText="1"/>
    </xf>
    <xf numFmtId="3" fontId="9" fillId="0" borderId="39" xfId="0" applyNumberFormat="1" applyFont="1" applyFill="1" applyBorder="1" applyAlignment="1">
      <alignment horizontal="center" vertical="top" wrapText="1"/>
    </xf>
    <xf numFmtId="3" fontId="11" fillId="0" borderId="98" xfId="0" applyNumberFormat="1" applyFont="1" applyBorder="1" applyAlignment="1">
      <alignment horizontal="center" vertical="top" wrapText="1"/>
    </xf>
    <xf numFmtId="3" fontId="11" fillId="0" borderId="48" xfId="0" applyNumberFormat="1" applyFont="1" applyBorder="1" applyAlignment="1">
      <alignment horizontal="center" vertical="top" wrapText="1"/>
    </xf>
    <xf numFmtId="3" fontId="9" fillId="0" borderId="70" xfId="0" applyNumberFormat="1" applyFont="1" applyBorder="1" applyAlignment="1">
      <alignment horizontal="left" vertical="top" wrapText="1"/>
    </xf>
    <xf numFmtId="3" fontId="9" fillId="0" borderId="21" xfId="0" applyNumberFormat="1" applyFont="1" applyBorder="1" applyAlignment="1">
      <alignment horizontal="left" vertical="top" wrapText="1"/>
    </xf>
    <xf numFmtId="3" fontId="11" fillId="17" borderId="18" xfId="0" applyNumberFormat="1" applyFont="1" applyFill="1" applyBorder="1" applyAlignment="1">
      <alignment horizontal="left" vertical="top" wrapText="1"/>
    </xf>
    <xf numFmtId="3" fontId="11" fillId="17" borderId="18" xfId="0" applyNumberFormat="1" applyFont="1" applyFill="1" applyBorder="1" applyAlignment="1">
      <alignment horizontal="center" vertical="top" wrapText="1"/>
    </xf>
    <xf numFmtId="3" fontId="11" fillId="17" borderId="99" xfId="0" applyNumberFormat="1" applyFont="1" applyFill="1" applyBorder="1" applyAlignment="1">
      <alignment horizontal="left" vertical="top" wrapText="1"/>
    </xf>
    <xf numFmtId="3" fontId="11" fillId="17" borderId="99" xfId="0" applyNumberFormat="1" applyFont="1" applyFill="1" applyBorder="1" applyAlignment="1">
      <alignment horizontal="center" vertical="top" wrapText="1"/>
    </xf>
    <xf numFmtId="3" fontId="11" fillId="17" borderId="100" xfId="0" applyNumberFormat="1" applyFont="1" applyFill="1" applyBorder="1" applyAlignment="1">
      <alignment horizontal="center" vertical="top" wrapText="1"/>
    </xf>
    <xf numFmtId="3" fontId="11" fillId="17" borderId="28" xfId="0" applyNumberFormat="1" applyFont="1" applyFill="1" applyBorder="1" applyAlignment="1">
      <alignment horizontal="left" vertical="top" wrapText="1"/>
    </xf>
    <xf numFmtId="3" fontId="11" fillId="17" borderId="29" xfId="0" applyNumberFormat="1" applyFont="1" applyFill="1" applyBorder="1" applyAlignment="1">
      <alignment horizontal="center" vertical="top" wrapText="1"/>
    </xf>
    <xf numFmtId="3" fontId="9" fillId="0" borderId="5" xfId="0" applyNumberFormat="1" applyFont="1" applyFill="1" applyBorder="1" applyAlignment="1">
      <alignment horizontal="left" vertical="top" wrapText="1"/>
    </xf>
    <xf numFmtId="3" fontId="9" fillId="0" borderId="22" xfId="0" applyNumberFormat="1" applyFont="1" applyBorder="1" applyAlignment="1">
      <alignment horizontal="center" vertical="top" wrapText="1"/>
    </xf>
    <xf numFmtId="3" fontId="9" fillId="0" borderId="62" xfId="0" applyNumberFormat="1" applyFont="1" applyBorder="1" applyAlignment="1">
      <alignment horizontal="center" vertical="top" wrapText="1"/>
    </xf>
    <xf numFmtId="3" fontId="11" fillId="17" borderId="48" xfId="0" applyNumberFormat="1" applyFont="1" applyFill="1" applyBorder="1" applyAlignment="1">
      <alignment horizontal="left" vertical="top" wrapText="1"/>
    </xf>
    <xf numFmtId="3" fontId="11" fillId="17" borderId="19" xfId="0" applyNumberFormat="1" applyFont="1" applyFill="1" applyBorder="1" applyAlignment="1">
      <alignment horizontal="left" vertical="top" wrapText="1"/>
    </xf>
    <xf numFmtId="3" fontId="9" fillId="0" borderId="40" xfId="0" applyNumberFormat="1" applyFont="1" applyFill="1" applyBorder="1" applyAlignment="1">
      <alignment horizontal="left" vertical="top" wrapText="1"/>
    </xf>
    <xf numFmtId="0" fontId="0" fillId="0" borderId="102" xfId="0" applyBorder="1"/>
    <xf numFmtId="0" fontId="9" fillId="0" borderId="102" xfId="0" applyFont="1" applyFill="1" applyBorder="1" applyAlignment="1">
      <alignment vertical="top" wrapText="1"/>
    </xf>
    <xf numFmtId="0" fontId="9" fillId="0" borderId="103" xfId="0" applyFont="1" applyFill="1" applyBorder="1" applyAlignment="1">
      <alignment vertical="top" wrapText="1"/>
    </xf>
    <xf numFmtId="3" fontId="9" fillId="15" borderId="6" xfId="0" applyNumberFormat="1" applyFont="1" applyFill="1" applyBorder="1" applyAlignment="1">
      <alignment horizontal="left" vertical="top" wrapText="1"/>
    </xf>
    <xf numFmtId="3" fontId="9" fillId="15" borderId="5" xfId="0" applyNumberFormat="1" applyFont="1" applyFill="1" applyBorder="1" applyAlignment="1">
      <alignment horizontal="left" vertical="top" wrapText="1"/>
    </xf>
    <xf numFmtId="0" fontId="20" fillId="4" borderId="88" xfId="0" applyFont="1" applyFill="1" applyBorder="1" applyAlignment="1">
      <alignment vertical="top" wrapText="1"/>
    </xf>
    <xf numFmtId="0" fontId="20" fillId="4" borderId="89" xfId="0" applyFont="1" applyFill="1" applyBorder="1" applyAlignment="1">
      <alignment vertical="top" wrapText="1"/>
    </xf>
    <xf numFmtId="0" fontId="20" fillId="4" borderId="98" xfId="0" applyFont="1" applyFill="1" applyBorder="1" applyAlignment="1">
      <alignment vertical="top" wrapText="1"/>
    </xf>
    <xf numFmtId="0" fontId="20" fillId="4" borderId="99" xfId="0" applyFont="1" applyFill="1" applyBorder="1" applyAlignment="1">
      <alignment vertical="top" wrapText="1"/>
    </xf>
    <xf numFmtId="0" fontId="20" fillId="4" borderId="99" xfId="0" applyFont="1" applyFill="1" applyBorder="1" applyAlignment="1">
      <alignment horizontal="center" vertical="top" wrapText="1"/>
    </xf>
    <xf numFmtId="0" fontId="20" fillId="4" borderId="100" xfId="0" applyFont="1" applyFill="1" applyBorder="1" applyAlignment="1">
      <alignment vertical="top" wrapText="1"/>
    </xf>
    <xf numFmtId="3" fontId="9" fillId="17" borderId="28" xfId="0" applyNumberFormat="1" applyFont="1" applyFill="1" applyBorder="1" applyAlignment="1">
      <alignment horizontal="center" vertical="top" wrapText="1"/>
    </xf>
    <xf numFmtId="3" fontId="9" fillId="17" borderId="23" xfId="0" applyNumberFormat="1" applyFont="1" applyFill="1" applyBorder="1" applyAlignment="1">
      <alignment horizontal="center" vertical="top" wrapText="1"/>
    </xf>
    <xf numFmtId="3" fontId="9" fillId="15" borderId="98" xfId="0" applyNumberFormat="1" applyFont="1" applyFill="1" applyBorder="1" applyAlignment="1">
      <alignment horizontal="center" vertical="top" wrapText="1"/>
    </xf>
    <xf numFmtId="3" fontId="9" fillId="15" borderId="17" xfId="0" applyNumberFormat="1" applyFont="1" applyFill="1" applyBorder="1" applyAlignment="1">
      <alignment horizontal="center" vertical="top" wrapText="1"/>
    </xf>
    <xf numFmtId="3" fontId="11" fillId="17" borderId="23" xfId="0" applyNumberFormat="1" applyFont="1" applyFill="1" applyBorder="1" applyAlignment="1">
      <alignment horizontal="center" vertical="top" wrapText="1"/>
    </xf>
    <xf numFmtId="0" fontId="0" fillId="0" borderId="98" xfId="0" applyBorder="1"/>
    <xf numFmtId="0" fontId="0" fillId="0" borderId="99" xfId="0" applyBorder="1"/>
    <xf numFmtId="0" fontId="0" fillId="0" borderId="100" xfId="0" applyBorder="1"/>
    <xf numFmtId="0" fontId="0" fillId="0" borderId="48" xfId="0" applyBorder="1"/>
    <xf numFmtId="3" fontId="9" fillId="0" borderId="105" xfId="0" applyNumberFormat="1" applyFont="1" applyBorder="1" applyAlignment="1">
      <alignment horizontal="center" vertical="top" wrapText="1"/>
    </xf>
    <xf numFmtId="0" fontId="0" fillId="0" borderId="99" xfId="0" applyBorder="1" applyAlignment="1">
      <alignment horizontal="center" wrapText="1"/>
    </xf>
    <xf numFmtId="0" fontId="11" fillId="0" borderId="102" xfId="0" applyFont="1" applyFill="1" applyBorder="1" applyAlignment="1">
      <alignment vertical="top" wrapText="1"/>
    </xf>
    <xf numFmtId="0" fontId="20" fillId="4" borderId="22" xfId="0" applyFont="1" applyFill="1" applyBorder="1" applyAlignment="1">
      <alignment vertical="top" wrapText="1"/>
    </xf>
    <xf numFmtId="0" fontId="20" fillId="4" borderId="22" xfId="0" applyFont="1" applyFill="1" applyBorder="1" applyAlignment="1">
      <alignment horizontal="center" vertical="top" wrapText="1"/>
    </xf>
    <xf numFmtId="9" fontId="9" fillId="0" borderId="70" xfId="76" applyFont="1" applyBorder="1" applyAlignment="1">
      <alignment horizontal="center" vertical="top" wrapText="1"/>
    </xf>
    <xf numFmtId="9" fontId="9" fillId="0" borderId="91" xfId="76" applyFont="1" applyBorder="1" applyAlignment="1">
      <alignment horizontal="center" vertical="top" wrapText="1"/>
    </xf>
    <xf numFmtId="3" fontId="11" fillId="0" borderId="0" xfId="0" applyNumberFormat="1" applyFont="1" applyFill="1" applyBorder="1" applyAlignment="1">
      <alignment vertical="top" wrapText="1"/>
    </xf>
    <xf numFmtId="3" fontId="9" fillId="0" borderId="0" xfId="0" applyNumberFormat="1" applyFont="1" applyFill="1" applyBorder="1" applyAlignment="1">
      <alignment vertical="top" wrapText="1"/>
    </xf>
    <xf numFmtId="3" fontId="11" fillId="0" borderId="7" xfId="0" applyNumberFormat="1" applyFont="1" applyFill="1" applyBorder="1" applyAlignment="1">
      <alignment vertical="top" wrapText="1"/>
    </xf>
    <xf numFmtId="0" fontId="20" fillId="4" borderId="0" xfId="0" applyFont="1" applyFill="1" applyBorder="1" applyAlignment="1">
      <alignment vertical="top" wrapText="1"/>
    </xf>
    <xf numFmtId="0" fontId="20" fillId="4" borderId="26" xfId="0" applyFont="1" applyFill="1" applyBorder="1" applyAlignment="1">
      <alignment horizontal="center" vertical="top" wrapText="1"/>
    </xf>
    <xf numFmtId="0" fontId="20" fillId="4" borderId="20" xfId="0" applyFont="1" applyFill="1" applyBorder="1" applyAlignment="1">
      <alignment horizontal="center" vertical="top" wrapText="1"/>
    </xf>
    <xf numFmtId="0" fontId="20" fillId="4" borderId="7" xfId="0" applyFont="1" applyFill="1" applyBorder="1" applyAlignment="1">
      <alignment horizontal="center" vertical="top" wrapText="1"/>
    </xf>
    <xf numFmtId="3" fontId="11" fillId="0" borderId="98" xfId="0" applyNumberFormat="1" applyFont="1" applyFill="1" applyBorder="1" applyAlignment="1">
      <alignment horizontal="left" vertical="top" wrapText="1"/>
    </xf>
    <xf numFmtId="3" fontId="11" fillId="0" borderId="99" xfId="0" applyNumberFormat="1" applyFont="1" applyFill="1" applyBorder="1" applyAlignment="1">
      <alignment horizontal="left" vertical="top" wrapText="1"/>
    </xf>
    <xf numFmtId="3" fontId="11" fillId="0" borderId="99" xfId="0" applyNumberFormat="1" applyFont="1" applyFill="1" applyBorder="1" applyAlignment="1">
      <alignment horizontal="center" vertical="top" wrapText="1"/>
    </xf>
    <xf numFmtId="3" fontId="11" fillId="0" borderId="39" xfId="0" applyNumberFormat="1" applyFont="1" applyFill="1" applyBorder="1" applyAlignment="1">
      <alignment horizontal="center" vertical="top" wrapText="1"/>
    </xf>
    <xf numFmtId="3" fontId="11" fillId="17" borderId="102" xfId="0" applyNumberFormat="1" applyFont="1" applyFill="1" applyBorder="1" applyAlignment="1">
      <alignment horizontal="left" vertical="top"/>
    </xf>
    <xf numFmtId="0" fontId="9" fillId="0" borderId="101" xfId="0" applyFont="1" applyFill="1" applyBorder="1" applyAlignment="1">
      <alignment vertical="top" wrapText="1"/>
    </xf>
    <xf numFmtId="0" fontId="9" fillId="0" borderId="107" xfId="0" applyFont="1" applyFill="1" applyBorder="1" applyAlignment="1">
      <alignment vertical="top" wrapText="1"/>
    </xf>
    <xf numFmtId="0" fontId="9" fillId="0" borderId="108" xfId="0" applyFont="1" applyFill="1" applyBorder="1" applyAlignment="1">
      <alignment vertical="top" wrapText="1"/>
    </xf>
    <xf numFmtId="0" fontId="56" fillId="0" borderId="102" xfId="0" applyFont="1" applyBorder="1" applyAlignment="1">
      <alignment horizontal="center" vertical="top" wrapText="1"/>
    </xf>
    <xf numFmtId="0" fontId="15" fillId="0" borderId="103" xfId="0" applyFont="1" applyBorder="1" applyAlignment="1">
      <alignment wrapText="1"/>
    </xf>
    <xf numFmtId="0" fontId="0" fillId="0" borderId="108" xfId="0" applyBorder="1"/>
    <xf numFmtId="9" fontId="9" fillId="0" borderId="108" xfId="0" applyNumberFormat="1" applyFont="1" applyFill="1" applyBorder="1" applyAlignment="1">
      <alignment horizontal="center" vertical="top" wrapText="1"/>
    </xf>
    <xf numFmtId="10" fontId="9" fillId="0" borderId="108" xfId="0" applyNumberFormat="1" applyFont="1" applyFill="1" applyBorder="1" applyAlignment="1">
      <alignment horizontal="center" vertical="top" wrapText="1"/>
    </xf>
    <xf numFmtId="0" fontId="0" fillId="0" borderId="109" xfId="0" applyBorder="1" applyAlignment="1">
      <alignment horizontal="center"/>
    </xf>
    <xf numFmtId="0" fontId="56" fillId="0" borderId="102" xfId="0" applyFont="1" applyFill="1" applyBorder="1" applyAlignment="1">
      <alignment horizontal="center" vertical="top" wrapText="1"/>
    </xf>
    <xf numFmtId="0" fontId="15" fillId="0" borderId="103" xfId="0" applyFont="1" applyFill="1" applyBorder="1" applyAlignment="1">
      <alignment wrapText="1"/>
    </xf>
    <xf numFmtId="9" fontId="9" fillId="0" borderId="2" xfId="0" applyNumberFormat="1" applyFont="1" applyFill="1" applyBorder="1" applyAlignment="1">
      <alignment horizontal="center" vertical="top" wrapText="1"/>
    </xf>
    <xf numFmtId="0" fontId="9" fillId="17" borderId="108" xfId="0" applyFont="1" applyFill="1" applyBorder="1" applyAlignment="1">
      <alignment horizontal="left" vertical="top" wrapText="1"/>
    </xf>
    <xf numFmtId="0" fontId="9" fillId="17" borderId="108" xfId="0" applyFont="1" applyFill="1" applyBorder="1" applyAlignment="1">
      <alignment vertical="top" wrapText="1"/>
    </xf>
    <xf numFmtId="0" fontId="9" fillId="17" borderId="109" xfId="0" applyFont="1" applyFill="1" applyBorder="1" applyAlignment="1">
      <alignment vertical="top" wrapText="1"/>
    </xf>
    <xf numFmtId="9" fontId="9" fillId="0" borderId="108" xfId="0" applyNumberFormat="1" applyFont="1" applyFill="1" applyBorder="1" applyAlignment="1">
      <alignment horizontal="left" vertical="top" wrapText="1"/>
    </xf>
    <xf numFmtId="0" fontId="15" fillId="0" borderId="110" xfId="0" applyFont="1" applyBorder="1" applyAlignment="1">
      <alignment horizontal="left" vertical="top" wrapText="1"/>
    </xf>
    <xf numFmtId="9" fontId="9" fillId="0" borderId="102" xfId="0" applyNumberFormat="1" applyFont="1" applyFill="1" applyBorder="1" applyAlignment="1">
      <alignment horizontal="center" vertical="top" wrapText="1"/>
    </xf>
    <xf numFmtId="0" fontId="9" fillId="17" borderId="101" xfId="0" applyFont="1" applyFill="1" applyBorder="1" applyAlignment="1">
      <alignment horizontal="left" vertical="top" wrapText="1"/>
    </xf>
    <xf numFmtId="0" fontId="9" fillId="17" borderId="102" xfId="0" applyFont="1" applyFill="1" applyBorder="1" applyAlignment="1">
      <alignment vertical="top" wrapText="1"/>
    </xf>
    <xf numFmtId="0" fontId="9" fillId="17" borderId="103" xfId="0" applyFont="1" applyFill="1" applyBorder="1" applyAlignment="1">
      <alignment vertical="top" wrapText="1"/>
    </xf>
    <xf numFmtId="0" fontId="9" fillId="17" borderId="107" xfId="0" applyFont="1" applyFill="1" applyBorder="1" applyAlignment="1">
      <alignment horizontal="left" vertical="top" wrapText="1"/>
    </xf>
    <xf numFmtId="0" fontId="9" fillId="17" borderId="102" xfId="0" applyFont="1" applyFill="1" applyBorder="1" applyAlignment="1">
      <alignment horizontal="center" vertical="top" wrapText="1"/>
    </xf>
    <xf numFmtId="0" fontId="9" fillId="17" borderId="108" xfId="0" applyFont="1" applyFill="1" applyBorder="1" applyAlignment="1">
      <alignment horizontal="center" vertical="top" wrapText="1"/>
    </xf>
    <xf numFmtId="15" fontId="0" fillId="0" borderId="0" xfId="0" applyNumberFormat="1"/>
    <xf numFmtId="9" fontId="9" fillId="0" borderId="101" xfId="0" applyNumberFormat="1" applyFont="1" applyFill="1" applyBorder="1" applyAlignment="1">
      <alignment vertical="top" wrapText="1"/>
    </xf>
    <xf numFmtId="0" fontId="0" fillId="0" borderId="102" xfId="0" applyFill="1" applyBorder="1"/>
    <xf numFmtId="0" fontId="0" fillId="0" borderId="103" xfId="0" applyFill="1" applyBorder="1"/>
    <xf numFmtId="0" fontId="9" fillId="0" borderId="0" xfId="0" applyFont="1" applyFill="1" applyBorder="1"/>
    <xf numFmtId="0" fontId="0" fillId="0" borderId="1" xfId="0" applyBorder="1" applyAlignment="1">
      <alignment vertical="top"/>
    </xf>
    <xf numFmtId="0" fontId="13" fillId="0" borderId="2" xfId="0" applyFont="1" applyBorder="1" applyAlignment="1">
      <alignment vertical="top" wrapText="1"/>
    </xf>
    <xf numFmtId="0" fontId="13" fillId="17" borderId="0" xfId="0" applyFont="1" applyFill="1" applyBorder="1" applyAlignment="1">
      <alignment horizontal="center" vertical="top" wrapText="1"/>
    </xf>
    <xf numFmtId="0" fontId="15" fillId="0" borderId="102" xfId="0" applyFont="1" applyFill="1" applyBorder="1"/>
    <xf numFmtId="0" fontId="15" fillId="0" borderId="103" xfId="0" applyFont="1" applyFill="1" applyBorder="1"/>
    <xf numFmtId="0" fontId="9" fillId="0" borderId="0" xfId="0" applyFont="1" applyFill="1"/>
    <xf numFmtId="0" fontId="13" fillId="17" borderId="7" xfId="0" applyFont="1" applyFill="1" applyBorder="1" applyAlignment="1">
      <alignment horizontal="center" vertical="top" wrapText="1"/>
    </xf>
    <xf numFmtId="0" fontId="13" fillId="17" borderId="2" xfId="0" applyFont="1" applyFill="1" applyBorder="1" applyAlignment="1">
      <alignment horizontal="center" vertical="top" wrapText="1"/>
    </xf>
    <xf numFmtId="0" fontId="13" fillId="17" borderId="107" xfId="0" applyFont="1" applyFill="1" applyBorder="1" applyAlignment="1">
      <alignment horizontal="center" vertical="top" wrapText="1"/>
    </xf>
    <xf numFmtId="0" fontId="15" fillId="16" borderId="0" xfId="0" applyFont="1" applyFill="1" applyBorder="1"/>
    <xf numFmtId="0" fontId="9" fillId="0" borderId="7" xfId="0" applyFont="1" applyFill="1" applyBorder="1"/>
    <xf numFmtId="0" fontId="9" fillId="0" borderId="107" xfId="0" applyFont="1" applyFill="1" applyBorder="1"/>
    <xf numFmtId="0" fontId="0" fillId="0" borderId="1" xfId="0" applyFill="1" applyBorder="1" applyAlignment="1">
      <alignment vertical="top"/>
    </xf>
    <xf numFmtId="0" fontId="59" fillId="0" borderId="87" xfId="0" applyFont="1" applyFill="1" applyBorder="1" applyAlignment="1">
      <alignment horizontal="left" vertical="top" wrapText="1"/>
    </xf>
    <xf numFmtId="0" fontId="13" fillId="0" borderId="87" xfId="0" applyFont="1" applyFill="1" applyBorder="1" applyAlignment="1">
      <alignment vertical="top" wrapText="1"/>
    </xf>
    <xf numFmtId="0" fontId="13" fillId="0" borderId="2" xfId="0" applyFont="1" applyFill="1" applyBorder="1" applyAlignment="1">
      <alignment vertical="top" wrapText="1"/>
    </xf>
    <xf numFmtId="3" fontId="0" fillId="15" borderId="99" xfId="0" applyNumberFormat="1" applyFont="1" applyFill="1" applyBorder="1" applyAlignment="1">
      <alignment horizontal="center" vertical="top" wrapText="1"/>
    </xf>
    <xf numFmtId="3" fontId="0" fillId="15" borderId="18" xfId="0" applyNumberFormat="1" applyFont="1" applyFill="1" applyBorder="1" applyAlignment="1">
      <alignment horizontal="center" vertical="top" wrapText="1"/>
    </xf>
    <xf numFmtId="3" fontId="0" fillId="0" borderId="106" xfId="0" applyNumberFormat="1" applyFont="1" applyBorder="1" applyAlignment="1">
      <alignment horizontal="center" vertical="top" wrapText="1"/>
    </xf>
    <xf numFmtId="3" fontId="0" fillId="0" borderId="33" xfId="0" applyNumberFormat="1" applyFont="1" applyBorder="1" applyAlignment="1">
      <alignment horizontal="center" vertical="top" wrapText="1"/>
    </xf>
    <xf numFmtId="15" fontId="0" fillId="0" borderId="18" xfId="0" applyNumberFormat="1" applyFill="1" applyBorder="1"/>
    <xf numFmtId="0" fontId="0" fillId="0" borderId="18" xfId="0" applyFill="1" applyBorder="1"/>
    <xf numFmtId="0" fontId="0" fillId="0" borderId="18" xfId="0" applyFill="1" applyBorder="1" applyAlignment="1">
      <alignment wrapText="1"/>
    </xf>
    <xf numFmtId="3" fontId="0" fillId="0" borderId="28" xfId="0" applyNumberFormat="1" applyFont="1" applyBorder="1" applyAlignment="1">
      <alignment horizontal="center" vertical="top" wrapText="1"/>
    </xf>
    <xf numFmtId="3" fontId="0" fillId="0" borderId="18" xfId="0" applyNumberFormat="1" applyFont="1" applyBorder="1" applyAlignment="1">
      <alignment horizontal="center" vertical="top" wrapText="1"/>
    </xf>
    <xf numFmtId="3" fontId="0" fillId="0" borderId="23" xfId="0" applyNumberFormat="1" applyFont="1" applyBorder="1" applyAlignment="1">
      <alignment horizontal="center" vertical="top" wrapText="1"/>
    </xf>
    <xf numFmtId="3" fontId="0" fillId="0" borderId="29" xfId="0" applyNumberFormat="1" applyFont="1" applyBorder="1" applyAlignment="1">
      <alignment horizontal="center" vertical="top" wrapText="1"/>
    </xf>
    <xf numFmtId="9" fontId="0" fillId="0" borderId="70" xfId="76" applyFont="1" applyBorder="1" applyAlignment="1">
      <alignment horizontal="center" vertical="top" wrapText="1"/>
    </xf>
    <xf numFmtId="9" fontId="0" fillId="0" borderId="21" xfId="76" applyFont="1" applyBorder="1" applyAlignment="1">
      <alignment horizontal="center" vertical="top" wrapText="1"/>
    </xf>
    <xf numFmtId="9" fontId="0" fillId="0" borderId="44" xfId="76" applyFont="1" applyBorder="1" applyAlignment="1">
      <alignment horizontal="center" vertical="top" wrapText="1"/>
    </xf>
    <xf numFmtId="9" fontId="0" fillId="0" borderId="21" xfId="76" applyFont="1" applyFill="1" applyBorder="1" applyAlignment="1">
      <alignment horizontal="center" vertical="top" wrapText="1"/>
    </xf>
    <xf numFmtId="9" fontId="0" fillId="0" borderId="91" xfId="76" applyFont="1" applyBorder="1" applyAlignment="1">
      <alignment horizontal="center" vertical="top" wrapText="1"/>
    </xf>
    <xf numFmtId="0" fontId="9" fillId="0" borderId="0" xfId="0" applyFont="1" applyAlignment="1">
      <alignment wrapText="1"/>
    </xf>
    <xf numFmtId="3" fontId="11" fillId="0" borderId="88" xfId="0" applyNumberFormat="1" applyFont="1" applyBorder="1" applyAlignment="1">
      <alignment horizontal="center" vertical="top" wrapText="1"/>
    </xf>
    <xf numFmtId="0" fontId="27" fillId="0" borderId="98" xfId="0" applyFont="1" applyBorder="1"/>
    <xf numFmtId="0" fontId="25" fillId="0" borderId="98" xfId="0" applyFont="1" applyBorder="1"/>
    <xf numFmtId="0" fontId="25" fillId="0" borderId="99" xfId="0" applyFont="1" applyBorder="1"/>
    <xf numFmtId="0" fontId="26" fillId="0" borderId="100" xfId="0" applyFont="1" applyFill="1" applyBorder="1"/>
    <xf numFmtId="0" fontId="26" fillId="0" borderId="99" xfId="0" applyFont="1" applyFill="1" applyBorder="1"/>
    <xf numFmtId="0" fontId="25" fillId="0" borderId="99" xfId="75" applyNumberFormat="1" applyFont="1" applyBorder="1" applyAlignment="1">
      <alignment horizontal="center"/>
    </xf>
    <xf numFmtId="0" fontId="25" fillId="0" borderId="0" xfId="0" applyFont="1" applyBorder="1" applyAlignment="1">
      <alignment horizontal="left" vertical="center"/>
    </xf>
    <xf numFmtId="0" fontId="25" fillId="0" borderId="29" xfId="0" applyFont="1" applyFill="1" applyBorder="1"/>
    <xf numFmtId="9" fontId="0" fillId="0" borderId="18" xfId="76" applyNumberFormat="1" applyFont="1" applyBorder="1"/>
    <xf numFmtId="9" fontId="0" fillId="0" borderId="23" xfId="76" applyNumberFormat="1" applyFont="1" applyBorder="1"/>
    <xf numFmtId="9" fontId="0" fillId="0" borderId="29" xfId="76" applyNumberFormat="1" applyFont="1" applyBorder="1"/>
    <xf numFmtId="9" fontId="0" fillId="0" borderId="5" xfId="76" applyNumberFormat="1" applyFont="1" applyBorder="1"/>
    <xf numFmtId="9" fontId="0" fillId="0" borderId="17" xfId="76" applyNumberFormat="1" applyFont="1" applyBorder="1"/>
    <xf numFmtId="9" fontId="0" fillId="0" borderId="4" xfId="76" applyNumberFormat="1" applyFont="1" applyBorder="1"/>
    <xf numFmtId="3" fontId="9" fillId="0" borderId="108" xfId="0" applyNumberFormat="1" applyFont="1" applyFill="1" applyBorder="1" applyAlignment="1">
      <alignment horizontal="left" vertical="top" wrapText="1"/>
    </xf>
    <xf numFmtId="3" fontId="9" fillId="0" borderId="109" xfId="0" applyNumberFormat="1" applyFont="1" applyFill="1" applyBorder="1" applyAlignment="1">
      <alignment horizontal="left" vertical="top" wrapText="1"/>
    </xf>
    <xf numFmtId="0" fontId="20" fillId="4" borderId="101" xfId="0" applyFont="1" applyFill="1" applyBorder="1" applyAlignment="1">
      <alignment horizontal="center" vertical="top" wrapText="1"/>
    </xf>
    <xf numFmtId="3" fontId="0" fillId="15" borderId="39" xfId="0" applyNumberFormat="1" applyFont="1" applyFill="1" applyBorder="1" applyAlignment="1">
      <alignment horizontal="center" vertical="top" wrapText="1"/>
    </xf>
    <xf numFmtId="3" fontId="0" fillId="15" borderId="100" xfId="0" applyNumberFormat="1" applyFont="1" applyFill="1" applyBorder="1" applyAlignment="1">
      <alignment horizontal="center" vertical="top" wrapText="1"/>
    </xf>
    <xf numFmtId="3" fontId="0" fillId="15" borderId="28" xfId="0" applyNumberFormat="1" applyFont="1" applyFill="1" applyBorder="1" applyAlignment="1">
      <alignment horizontal="center" vertical="top" wrapText="1"/>
    </xf>
    <xf numFmtId="3" fontId="0" fillId="15" borderId="23" xfId="0" applyNumberFormat="1" applyFont="1" applyFill="1" applyBorder="1" applyAlignment="1">
      <alignment horizontal="center" vertical="top" wrapText="1"/>
    </xf>
    <xf numFmtId="3" fontId="0" fillId="15" borderId="29" xfId="0" applyNumberFormat="1" applyFont="1" applyFill="1" applyBorder="1" applyAlignment="1">
      <alignment horizontal="center" vertical="top" wrapText="1"/>
    </xf>
    <xf numFmtId="3" fontId="0" fillId="0" borderId="34" xfId="0" applyNumberFormat="1" applyFont="1" applyBorder="1" applyAlignment="1">
      <alignment horizontal="center" vertical="top" wrapText="1"/>
    </xf>
    <xf numFmtId="3" fontId="0" fillId="0" borderId="27" xfId="0" applyNumberFormat="1" applyFont="1" applyBorder="1" applyAlignment="1">
      <alignment horizontal="center" vertical="top" wrapText="1"/>
    </xf>
    <xf numFmtId="3" fontId="11" fillId="17" borderId="107" xfId="0" applyNumberFormat="1" applyFont="1" applyFill="1" applyBorder="1" applyAlignment="1">
      <alignment horizontal="left" vertical="top" wrapText="1"/>
    </xf>
    <xf numFmtId="3" fontId="11" fillId="17" borderId="108" xfId="0" applyNumberFormat="1" applyFont="1" applyFill="1" applyBorder="1" applyAlignment="1">
      <alignment horizontal="left" vertical="top" wrapText="1"/>
    </xf>
    <xf numFmtId="0" fontId="43" fillId="0" borderId="0" xfId="1" applyFont="1"/>
    <xf numFmtId="0" fontId="44" fillId="0" borderId="0" xfId="1" applyFont="1"/>
    <xf numFmtId="0" fontId="9" fillId="0" borderId="0" xfId="1"/>
    <xf numFmtId="0" fontId="43" fillId="0" borderId="18" xfId="1" applyFont="1" applyBorder="1" applyAlignment="1">
      <alignment wrapText="1"/>
    </xf>
    <xf numFmtId="0" fontId="43" fillId="0" borderId="18" xfId="1" applyFont="1" applyBorder="1" applyAlignment="1">
      <alignment vertical="top" wrapText="1"/>
    </xf>
    <xf numFmtId="0" fontId="43" fillId="0" borderId="18" xfId="1" applyFont="1" applyBorder="1"/>
    <xf numFmtId="0" fontId="43" fillId="16" borderId="18" xfId="1" applyFont="1" applyFill="1" applyBorder="1" applyAlignment="1">
      <alignment wrapText="1"/>
    </xf>
    <xf numFmtId="10" fontId="44" fillId="0" borderId="18" xfId="88" applyNumberFormat="1" applyFont="1" applyBorder="1"/>
    <xf numFmtId="10" fontId="44" fillId="0" borderId="18" xfId="88" applyNumberFormat="1" applyFont="1" applyFill="1" applyBorder="1"/>
    <xf numFmtId="165" fontId="44" fillId="0" borderId="18" xfId="89" applyNumberFormat="1" applyFont="1" applyBorder="1"/>
    <xf numFmtId="43" fontId="44" fillId="0" borderId="18" xfId="89" applyNumberFormat="1" applyFont="1" applyBorder="1"/>
    <xf numFmtId="9" fontId="44" fillId="0" borderId="18" xfId="88" applyFont="1" applyBorder="1"/>
    <xf numFmtId="165" fontId="43" fillId="16" borderId="18" xfId="89" applyNumberFormat="1" applyFont="1" applyFill="1" applyBorder="1"/>
    <xf numFmtId="10" fontId="44" fillId="0" borderId="18" xfId="1" applyNumberFormat="1" applyFont="1" applyBorder="1"/>
    <xf numFmtId="9" fontId="44" fillId="0" borderId="18" xfId="1" applyNumberFormat="1" applyFont="1" applyBorder="1"/>
    <xf numFmtId="0" fontId="44" fillId="0" borderId="18" xfId="1" applyFont="1" applyBorder="1"/>
    <xf numFmtId="165" fontId="43" fillId="16" borderId="18" xfId="1" applyNumberFormat="1" applyFont="1" applyFill="1" applyBorder="1"/>
    <xf numFmtId="43" fontId="44" fillId="0" borderId="18" xfId="1" applyNumberFormat="1" applyFont="1" applyBorder="1"/>
    <xf numFmtId="9" fontId="44" fillId="0" borderId="18" xfId="88" applyFont="1" applyBorder="1" applyAlignment="1">
      <alignment horizontal="right"/>
    </xf>
    <xf numFmtId="165" fontId="44" fillId="16" borderId="18" xfId="1" applyNumberFormat="1" applyFont="1" applyFill="1" applyBorder="1"/>
    <xf numFmtId="0" fontId="43" fillId="0" borderId="63" xfId="1" applyFont="1" applyBorder="1"/>
    <xf numFmtId="0" fontId="44" fillId="0" borderId="63" xfId="1" applyFont="1" applyBorder="1"/>
    <xf numFmtId="43" fontId="44" fillId="0" borderId="63" xfId="1" applyNumberFormat="1" applyFont="1" applyBorder="1"/>
    <xf numFmtId="43" fontId="44" fillId="0" borderId="63" xfId="89" applyNumberFormat="1" applyFont="1" applyBorder="1"/>
    <xf numFmtId="165" fontId="43" fillId="16" borderId="63" xfId="1" applyNumberFormat="1" applyFont="1" applyFill="1" applyBorder="1"/>
    <xf numFmtId="0" fontId="45" fillId="0" borderId="18" xfId="1" applyFont="1" applyBorder="1"/>
    <xf numFmtId="0" fontId="56" fillId="0" borderId="103" xfId="0" applyFont="1" applyBorder="1" applyAlignment="1">
      <alignment horizontal="center" vertical="top" wrapText="1"/>
    </xf>
    <xf numFmtId="0" fontId="9" fillId="0" borderId="108" xfId="0" applyFont="1" applyBorder="1" applyAlignment="1">
      <alignment horizontal="center" vertical="top" wrapText="1"/>
    </xf>
    <xf numFmtId="3" fontId="11" fillId="0" borderId="101" xfId="0" applyNumberFormat="1" applyFont="1" applyFill="1" applyBorder="1" applyAlignment="1">
      <alignment vertical="top" wrapText="1"/>
    </xf>
    <xf numFmtId="3" fontId="11" fillId="0" borderId="102" xfId="0" applyNumberFormat="1" applyFont="1" applyFill="1" applyBorder="1" applyAlignment="1">
      <alignment vertical="top" wrapText="1"/>
    </xf>
    <xf numFmtId="3" fontId="11" fillId="0" borderId="103" xfId="0" applyNumberFormat="1" applyFont="1" applyFill="1" applyBorder="1" applyAlignment="1">
      <alignment vertical="top" wrapText="1"/>
    </xf>
    <xf numFmtId="3" fontId="11" fillId="0" borderId="2" xfId="0" applyNumberFormat="1" applyFont="1" applyFill="1" applyBorder="1" applyAlignment="1">
      <alignment vertical="top" wrapText="1"/>
    </xf>
    <xf numFmtId="3" fontId="11" fillId="0" borderId="107" xfId="0" applyNumberFormat="1" applyFont="1" applyFill="1" applyBorder="1" applyAlignment="1">
      <alignment vertical="top" wrapText="1"/>
    </xf>
    <xf numFmtId="3" fontId="11" fillId="0" borderId="108" xfId="0" applyNumberFormat="1" applyFont="1" applyFill="1" applyBorder="1" applyAlignment="1">
      <alignment vertical="top" wrapText="1"/>
    </xf>
    <xf numFmtId="3" fontId="11" fillId="0" borderId="109" xfId="0" applyNumberFormat="1" applyFont="1" applyFill="1" applyBorder="1" applyAlignment="1">
      <alignment vertical="top" wrapText="1"/>
    </xf>
    <xf numFmtId="3" fontId="11" fillId="0" borderId="0" xfId="0" applyNumberFormat="1" applyFont="1" applyFill="1" applyBorder="1" applyAlignment="1">
      <alignment horizontal="center" vertical="top" wrapText="1"/>
    </xf>
    <xf numFmtId="3" fontId="11" fillId="0" borderId="88" xfId="0" applyNumberFormat="1" applyFont="1" applyFill="1" applyBorder="1" applyAlignment="1">
      <alignment horizontal="center" vertical="top" wrapText="1"/>
    </xf>
    <xf numFmtId="3" fontId="11" fillId="0" borderId="7" xfId="0" applyNumberFormat="1" applyFont="1" applyFill="1" applyBorder="1" applyAlignment="1">
      <alignment horizontal="center" vertical="top" wrapText="1"/>
    </xf>
    <xf numFmtId="3" fontId="9" fillId="0" borderId="40" xfId="0" applyNumberFormat="1" applyFont="1" applyBorder="1" applyAlignment="1">
      <alignment horizontal="center" vertical="top" wrapText="1"/>
    </xf>
    <xf numFmtId="3" fontId="9" fillId="0" borderId="25" xfId="76" applyNumberFormat="1" applyFont="1" applyBorder="1" applyAlignment="1">
      <alignment horizontal="center" vertical="top" wrapText="1"/>
    </xf>
    <xf numFmtId="3" fontId="11" fillId="0" borderId="2" xfId="0" applyNumberFormat="1" applyFont="1" applyFill="1" applyBorder="1" applyAlignment="1">
      <alignment horizontal="center" vertical="top" wrapText="1"/>
    </xf>
    <xf numFmtId="0" fontId="9" fillId="17" borderId="7" xfId="0" applyFont="1" applyFill="1" applyBorder="1" applyAlignment="1">
      <alignment horizontal="left" vertical="top" wrapText="1"/>
    </xf>
    <xf numFmtId="0" fontId="9" fillId="17" borderId="0" xfId="0" applyFont="1" applyFill="1" applyBorder="1" applyAlignment="1">
      <alignment horizontal="left" vertical="top"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3" fontId="11" fillId="0" borderId="7" xfId="0" applyNumberFormat="1" applyFont="1" applyBorder="1" applyAlignment="1">
      <alignment horizontal="center" vertical="top" wrapText="1"/>
    </xf>
    <xf numFmtId="3" fontId="11" fillId="0" borderId="0" xfId="0" applyNumberFormat="1" applyFont="1" applyBorder="1" applyAlignment="1">
      <alignment horizontal="center" vertical="top" wrapText="1"/>
    </xf>
    <xf numFmtId="3" fontId="11" fillId="0" borderId="2" xfId="0" applyNumberFormat="1" applyFont="1" applyBorder="1" applyAlignment="1">
      <alignment horizontal="center" vertical="top" wrapText="1"/>
    </xf>
    <xf numFmtId="3" fontId="11" fillId="17" borderId="0" xfId="0" applyNumberFormat="1" applyFont="1" applyFill="1" applyBorder="1" applyAlignment="1">
      <alignment horizontal="left" vertical="top" wrapText="1"/>
    </xf>
    <xf numFmtId="3" fontId="11" fillId="17" borderId="102" xfId="0" applyNumberFormat="1" applyFont="1" applyFill="1" applyBorder="1" applyAlignment="1">
      <alignment horizontal="left" vertical="top" wrapText="1"/>
    </xf>
    <xf numFmtId="3" fontId="11" fillId="17" borderId="101" xfId="0" applyNumberFormat="1" applyFont="1" applyFill="1" applyBorder="1" applyAlignment="1">
      <alignment horizontal="left" vertical="top" wrapText="1"/>
    </xf>
    <xf numFmtId="3" fontId="9" fillId="0" borderId="0" xfId="0" applyNumberFormat="1" applyFont="1" applyBorder="1" applyAlignment="1">
      <alignment horizontal="left" vertical="top" wrapText="1"/>
    </xf>
    <xf numFmtId="3" fontId="11" fillId="0" borderId="107" xfId="0" applyNumberFormat="1" applyFont="1" applyBorder="1" applyAlignment="1">
      <alignment horizontal="center" vertical="top" wrapText="1"/>
    </xf>
    <xf numFmtId="3" fontId="11" fillId="0" borderId="108" xfId="0" applyNumberFormat="1" applyFont="1" applyBorder="1" applyAlignment="1">
      <alignment horizontal="center" vertical="top" wrapText="1"/>
    </xf>
    <xf numFmtId="3" fontId="11" fillId="0" borderId="109" xfId="0" applyNumberFormat="1" applyFont="1" applyBorder="1" applyAlignment="1">
      <alignment horizontal="center" vertical="top" wrapText="1"/>
    </xf>
    <xf numFmtId="3" fontId="11" fillId="17" borderId="7" xfId="0" applyNumberFormat="1" applyFont="1" applyFill="1" applyBorder="1" applyAlignment="1">
      <alignment horizontal="left" vertical="top" wrapText="1"/>
    </xf>
    <xf numFmtId="0" fontId="9" fillId="0" borderId="36" xfId="0" applyFont="1" applyFill="1" applyBorder="1" applyAlignment="1">
      <alignment horizontal="center" vertical="top" wrapText="1"/>
    </xf>
    <xf numFmtId="0" fontId="9" fillId="0" borderId="1" xfId="0" applyFont="1" applyBorder="1" applyAlignment="1">
      <alignment vertical="top" wrapText="1"/>
    </xf>
    <xf numFmtId="9" fontId="9" fillId="0" borderId="102" xfId="0" applyNumberFormat="1" applyFont="1" applyFill="1" applyBorder="1" applyAlignment="1">
      <alignment horizontal="left" vertical="top" wrapText="1"/>
    </xf>
    <xf numFmtId="0" fontId="15" fillId="0" borderId="101" xfId="0" applyFont="1" applyBorder="1" applyAlignment="1">
      <alignment horizontal="center" vertical="top" wrapText="1"/>
    </xf>
    <xf numFmtId="0" fontId="15" fillId="0" borderId="7" xfId="0" applyFont="1" applyBorder="1" applyAlignment="1">
      <alignment horizontal="center" vertical="top" wrapText="1"/>
    </xf>
    <xf numFmtId="9" fontId="9" fillId="17" borderId="107" xfId="0" applyNumberFormat="1" applyFont="1" applyFill="1" applyBorder="1" applyAlignment="1">
      <alignment horizontal="left" vertical="top" wrapText="1"/>
    </xf>
    <xf numFmtId="9" fontId="9" fillId="17" borderId="108" xfId="0" applyNumberFormat="1" applyFont="1" applyFill="1" applyBorder="1" applyAlignment="1">
      <alignment horizontal="left" vertical="top" wrapText="1"/>
    </xf>
    <xf numFmtId="0" fontId="9" fillId="0" borderId="1" xfId="0" applyFont="1" applyBorder="1" applyAlignment="1">
      <alignment horizontal="left" vertical="top" wrapText="1"/>
    </xf>
    <xf numFmtId="3" fontId="9" fillId="0" borderId="0" xfId="0" applyNumberFormat="1" applyFont="1" applyFill="1" applyBorder="1" applyAlignment="1">
      <alignment horizontal="left" vertical="top" wrapText="1"/>
    </xf>
    <xf numFmtId="3" fontId="9" fillId="17" borderId="7" xfId="0" applyNumberFormat="1" applyFont="1" applyFill="1" applyBorder="1" applyAlignment="1">
      <alignment horizontal="left" vertical="top" wrapText="1"/>
    </xf>
    <xf numFmtId="3" fontId="9" fillId="17" borderId="0" xfId="0" applyNumberFormat="1" applyFont="1" applyFill="1" applyBorder="1" applyAlignment="1">
      <alignment horizontal="left" vertical="top" wrapText="1"/>
    </xf>
    <xf numFmtId="3" fontId="9" fillId="17" borderId="0" xfId="0" applyNumberFormat="1" applyFont="1" applyFill="1" applyBorder="1" applyAlignment="1">
      <alignment horizontal="center" vertical="top" wrapText="1"/>
    </xf>
    <xf numFmtId="3" fontId="9" fillId="17" borderId="2" xfId="0" applyNumberFormat="1" applyFont="1" applyFill="1" applyBorder="1" applyAlignment="1">
      <alignment horizontal="center" vertical="top" wrapText="1"/>
    </xf>
    <xf numFmtId="0" fontId="9" fillId="0" borderId="0" xfId="0" applyFont="1" applyBorder="1" applyAlignment="1">
      <alignment horizontal="center"/>
    </xf>
    <xf numFmtId="0" fontId="9" fillId="0" borderId="18" xfId="0" applyFont="1" applyBorder="1" applyAlignment="1">
      <alignment horizontal="center"/>
    </xf>
    <xf numFmtId="0" fontId="21" fillId="0" borderId="7" xfId="0" applyFont="1" applyBorder="1" applyAlignment="1">
      <alignment horizontal="left" vertical="top" wrapText="1"/>
    </xf>
    <xf numFmtId="0" fontId="9" fillId="17" borderId="102" xfId="0" applyFont="1" applyFill="1" applyBorder="1" applyAlignment="1">
      <alignment horizontal="left" vertical="top" wrapText="1"/>
    </xf>
    <xf numFmtId="0" fontId="15" fillId="0" borderId="1" xfId="0" applyFont="1" applyBorder="1" applyAlignment="1">
      <alignment horizontal="center" vertical="top" wrapText="1"/>
    </xf>
    <xf numFmtId="0" fontId="9" fillId="0" borderId="1" xfId="0" applyFont="1" applyBorder="1" applyAlignment="1">
      <alignment horizontal="center" vertical="top" wrapText="1"/>
    </xf>
    <xf numFmtId="0" fontId="20" fillId="0" borderId="101" xfId="0" applyFont="1" applyBorder="1" applyAlignment="1">
      <alignment horizontal="center" vertical="top" wrapText="1"/>
    </xf>
    <xf numFmtId="0" fontId="11" fillId="0" borderId="7" xfId="0" applyFont="1" applyBorder="1" applyAlignment="1"/>
    <xf numFmtId="0" fontId="15" fillId="4" borderId="101" xfId="0" applyFont="1" applyFill="1" applyBorder="1" applyAlignment="1">
      <alignment vertical="top" wrapText="1"/>
    </xf>
    <xf numFmtId="0" fontId="15" fillId="4" borderId="102" xfId="0" applyFont="1" applyFill="1" applyBorder="1" applyAlignment="1">
      <alignment vertical="top" wrapText="1"/>
    </xf>
    <xf numFmtId="0" fontId="15" fillId="4" borderId="101" xfId="0" applyFont="1" applyFill="1" applyBorder="1" applyAlignment="1">
      <alignment horizontal="left" vertical="top" wrapText="1"/>
    </xf>
    <xf numFmtId="0" fontId="15" fillId="4" borderId="102" xfId="0" applyFont="1" applyFill="1" applyBorder="1" applyAlignment="1">
      <alignment horizontal="left" vertical="top" wrapText="1"/>
    </xf>
    <xf numFmtId="3" fontId="11" fillId="17" borderId="2" xfId="0" applyNumberFormat="1" applyFont="1" applyFill="1" applyBorder="1" applyAlignment="1">
      <alignment horizontal="left" vertical="top" wrapText="1"/>
    </xf>
    <xf numFmtId="3" fontId="11" fillId="0" borderId="101" xfId="0" applyNumberFormat="1" applyFont="1" applyBorder="1" applyAlignment="1">
      <alignment horizontal="center" vertical="top" wrapText="1"/>
    </xf>
    <xf numFmtId="3" fontId="11" fillId="0" borderId="102" xfId="0" applyNumberFormat="1" applyFont="1" applyBorder="1" applyAlignment="1">
      <alignment horizontal="center" vertical="top" wrapText="1"/>
    </xf>
    <xf numFmtId="3" fontId="11" fillId="0" borderId="103" xfId="0" applyNumberFormat="1" applyFont="1" applyBorder="1" applyAlignment="1">
      <alignment horizontal="center" vertical="top" wrapText="1"/>
    </xf>
    <xf numFmtId="0" fontId="9" fillId="7" borderId="1" xfId="0" applyFont="1" applyFill="1" applyBorder="1" applyAlignment="1">
      <alignment horizontal="left" vertical="top" wrapText="1"/>
    </xf>
    <xf numFmtId="0" fontId="9" fillId="7" borderId="7" xfId="0" applyFont="1" applyFill="1" applyBorder="1" applyAlignment="1">
      <alignment horizontal="left" vertical="top" wrapText="1"/>
    </xf>
    <xf numFmtId="3" fontId="11" fillId="0" borderId="101" xfId="0" applyNumberFormat="1" applyFont="1" applyBorder="1" applyAlignment="1">
      <alignment horizontal="left" vertical="top" wrapText="1"/>
    </xf>
    <xf numFmtId="3" fontId="11" fillId="0" borderId="102" xfId="0" applyNumberFormat="1" applyFont="1" applyBorder="1" applyAlignment="1">
      <alignment horizontal="left" vertical="top" wrapText="1"/>
    </xf>
    <xf numFmtId="0" fontId="20" fillId="0" borderId="1" xfId="0" applyFont="1" applyBorder="1" applyAlignment="1">
      <alignment horizontal="center" vertical="top" wrapText="1"/>
    </xf>
    <xf numFmtId="3" fontId="11" fillId="0" borderId="0" xfId="0" applyNumberFormat="1" applyFont="1" applyFill="1" applyBorder="1" applyAlignment="1">
      <alignment horizontal="left" vertical="top" wrapText="1"/>
    </xf>
    <xf numFmtId="0" fontId="20" fillId="0" borderId="104" xfId="0" applyFont="1" applyBorder="1" applyAlignment="1">
      <alignment horizontal="center" vertical="top" wrapText="1"/>
    </xf>
    <xf numFmtId="0" fontId="15" fillId="8" borderId="101" xfId="0" applyFont="1" applyFill="1" applyBorder="1" applyAlignment="1">
      <alignment vertical="top" wrapText="1"/>
    </xf>
    <xf numFmtId="3" fontId="9" fillId="0" borderId="0" xfId="0" applyNumberFormat="1" applyFont="1" applyFill="1" applyBorder="1" applyAlignment="1">
      <alignment horizontal="center" vertical="top" wrapText="1"/>
    </xf>
    <xf numFmtId="3" fontId="9" fillId="0" borderId="2" xfId="0" applyNumberFormat="1" applyFont="1" applyFill="1" applyBorder="1" applyAlignment="1">
      <alignment horizontal="center" vertical="top" wrapText="1"/>
    </xf>
    <xf numFmtId="0" fontId="9" fillId="0" borderId="2" xfId="0" applyFont="1" applyBorder="1" applyAlignment="1">
      <alignment horizontal="center" vertical="top" wrapText="1"/>
    </xf>
    <xf numFmtId="0" fontId="9" fillId="0" borderId="104"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xf>
    <xf numFmtId="0" fontId="9" fillId="0" borderId="7" xfId="0" applyFont="1" applyBorder="1"/>
    <xf numFmtId="0" fontId="9" fillId="0" borderId="108" xfId="0" applyFont="1" applyFill="1" applyBorder="1" applyAlignment="1">
      <alignment horizontal="left" vertical="top" wrapText="1"/>
    </xf>
    <xf numFmtId="3" fontId="11" fillId="17" borderId="0" xfId="0" applyNumberFormat="1" applyFont="1" applyFill="1" applyBorder="1" applyAlignment="1">
      <alignment horizontal="center" vertical="top" wrapText="1"/>
    </xf>
    <xf numFmtId="0" fontId="9" fillId="17" borderId="0" xfId="0" applyFont="1" applyFill="1" applyBorder="1" applyAlignment="1">
      <alignment horizontal="center" vertical="top" wrapText="1"/>
    </xf>
    <xf numFmtId="0" fontId="9" fillId="0" borderId="0" xfId="0" applyFont="1" applyFill="1" applyBorder="1" applyAlignment="1">
      <alignment horizontal="center" vertical="top" wrapText="1"/>
    </xf>
    <xf numFmtId="9" fontId="9" fillId="0" borderId="7" xfId="0" applyNumberFormat="1" applyFont="1" applyFill="1" applyBorder="1" applyAlignment="1">
      <alignment horizontal="left" vertical="top" wrapText="1"/>
    </xf>
    <xf numFmtId="9" fontId="9" fillId="0" borderId="0" xfId="0" applyNumberFormat="1" applyFont="1" applyFill="1" applyBorder="1" applyAlignment="1">
      <alignment horizontal="left" vertical="top" wrapText="1"/>
    </xf>
    <xf numFmtId="3" fontId="9" fillId="0" borderId="2" xfId="0" applyNumberFormat="1" applyFont="1" applyBorder="1" applyAlignment="1">
      <alignment horizontal="left" vertical="top" wrapText="1"/>
    </xf>
    <xf numFmtId="3" fontId="11" fillId="15" borderId="89" xfId="0" applyNumberFormat="1" applyFont="1" applyFill="1" applyBorder="1" applyAlignment="1">
      <alignment horizontal="left" vertical="top" wrapText="1"/>
    </xf>
    <xf numFmtId="3" fontId="11" fillId="0" borderId="89" xfId="0" applyNumberFormat="1" applyFont="1" applyBorder="1" applyAlignment="1">
      <alignment horizontal="center" vertical="top" wrapText="1"/>
    </xf>
    <xf numFmtId="3" fontId="11" fillId="0" borderId="90" xfId="0" applyNumberFormat="1" applyFont="1" applyBorder="1" applyAlignment="1">
      <alignment horizontal="center" vertical="top" wrapText="1"/>
    </xf>
    <xf numFmtId="0" fontId="20" fillId="0" borderId="7" xfId="0" applyFont="1" applyBorder="1" applyAlignment="1">
      <alignment horizontal="center" vertical="top" wrapText="1"/>
    </xf>
    <xf numFmtId="0" fontId="20" fillId="4" borderId="102" xfId="0" applyFont="1" applyFill="1" applyBorder="1" applyAlignment="1">
      <alignment vertical="top" wrapText="1"/>
    </xf>
    <xf numFmtId="0" fontId="9" fillId="0" borderId="35" xfId="0" applyFont="1" applyFill="1" applyBorder="1" applyAlignment="1">
      <alignment vertical="top" wrapText="1"/>
    </xf>
    <xf numFmtId="0" fontId="9" fillId="0" borderId="36" xfId="0" applyFont="1" applyFill="1" applyBorder="1" applyAlignment="1">
      <alignment vertical="top" wrapText="1"/>
    </xf>
    <xf numFmtId="0" fontId="9" fillId="0" borderId="37" xfId="0" applyFont="1" applyFill="1" applyBorder="1" applyAlignment="1">
      <alignment vertical="top" wrapText="1"/>
    </xf>
    <xf numFmtId="0" fontId="11" fillId="0" borderId="102" xfId="0" applyFont="1" applyFill="1" applyBorder="1" applyAlignment="1">
      <alignment horizontal="left" vertical="top" wrapText="1"/>
    </xf>
    <xf numFmtId="9" fontId="9" fillId="17" borderId="0" xfId="0" applyNumberFormat="1" applyFont="1" applyFill="1" applyBorder="1" applyAlignment="1">
      <alignment horizontal="left" vertical="top" wrapText="1"/>
    </xf>
    <xf numFmtId="3" fontId="11" fillId="0" borderId="89" xfId="0" applyNumberFormat="1" applyFont="1" applyFill="1" applyBorder="1" applyAlignment="1">
      <alignment horizontal="center" vertical="top" wrapText="1"/>
    </xf>
    <xf numFmtId="3" fontId="11" fillId="0" borderId="90" xfId="0" applyNumberFormat="1" applyFont="1" applyFill="1" applyBorder="1" applyAlignment="1">
      <alignment horizontal="center" vertical="top" wrapText="1"/>
    </xf>
    <xf numFmtId="0" fontId="9" fillId="0" borderId="107" xfId="0" applyFont="1" applyBorder="1" applyAlignment="1">
      <alignment horizontal="left" vertical="top" wrapText="1"/>
    </xf>
    <xf numFmtId="0" fontId="9" fillId="0" borderId="7" xfId="0" applyFont="1" applyBorder="1" applyAlignment="1">
      <alignment vertical="top" wrapText="1"/>
    </xf>
    <xf numFmtId="0" fontId="9" fillId="0" borderId="101" xfId="0" applyFont="1" applyFill="1" applyBorder="1" applyAlignment="1">
      <alignment horizontal="left" vertical="top" wrapText="1"/>
    </xf>
    <xf numFmtId="0" fontId="9" fillId="0" borderId="101" xfId="0" applyFont="1" applyFill="1" applyBorder="1" applyAlignment="1">
      <alignment horizontal="left" vertical="top" wrapText="1"/>
    </xf>
    <xf numFmtId="0" fontId="9" fillId="0" borderId="102"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center" vertical="top" wrapText="1"/>
    </xf>
    <xf numFmtId="0" fontId="9" fillId="0" borderId="108" xfId="0" applyFont="1" applyFill="1" applyBorder="1" applyAlignment="1">
      <alignment horizontal="center" vertical="top"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3" fontId="9" fillId="0" borderId="0" xfId="0" applyNumberFormat="1" applyFont="1" applyBorder="1" applyAlignment="1">
      <alignment horizontal="center" vertical="top" wrapText="1"/>
    </xf>
    <xf numFmtId="3" fontId="9" fillId="0" borderId="2" xfId="0" applyNumberFormat="1" applyFont="1" applyBorder="1" applyAlignment="1">
      <alignment horizontal="center" vertical="top" wrapText="1"/>
    </xf>
    <xf numFmtId="0" fontId="15" fillId="0" borderId="1" xfId="0" applyFont="1" applyBorder="1" applyAlignment="1">
      <alignment horizontal="center" vertical="top" wrapText="1"/>
    </xf>
    <xf numFmtId="3" fontId="9" fillId="0" borderId="0" xfId="0" applyNumberFormat="1" applyFont="1" applyFill="1" applyBorder="1" applyAlignment="1">
      <alignment horizontal="left" vertical="top" wrapText="1"/>
    </xf>
    <xf numFmtId="3" fontId="9" fillId="0" borderId="0" xfId="0" applyNumberFormat="1" applyFont="1" applyBorder="1" applyAlignment="1">
      <alignment horizontal="left" vertical="top" wrapText="1"/>
    </xf>
    <xf numFmtId="3" fontId="9" fillId="0" borderId="2" xfId="0" applyNumberFormat="1" applyFont="1" applyBorder="1" applyAlignment="1">
      <alignment horizontal="left" vertical="top" wrapText="1"/>
    </xf>
    <xf numFmtId="0" fontId="15" fillId="4" borderId="101" xfId="0" applyFont="1" applyFill="1" applyBorder="1" applyAlignment="1">
      <alignment vertical="top" wrapText="1"/>
    </xf>
    <xf numFmtId="3" fontId="9" fillId="0" borderId="0" xfId="0" applyNumberFormat="1" applyFont="1" applyFill="1" applyBorder="1" applyAlignment="1">
      <alignment horizontal="center" vertical="top" wrapText="1"/>
    </xf>
    <xf numFmtId="0" fontId="9" fillId="0" borderId="0" xfId="0" applyFont="1" applyBorder="1" applyAlignment="1">
      <alignment horizontal="center" vertical="top" wrapText="1"/>
    </xf>
    <xf numFmtId="0" fontId="9" fillId="0" borderId="107" xfId="0" applyFont="1" applyFill="1" applyBorder="1" applyAlignment="1">
      <alignment horizontal="left" vertical="top" wrapText="1"/>
    </xf>
    <xf numFmtId="0" fontId="9" fillId="0" borderId="101" xfId="0" applyFont="1" applyBorder="1" applyAlignment="1">
      <alignment horizontal="left" vertical="top" wrapText="1"/>
    </xf>
    <xf numFmtId="0" fontId="9" fillId="0" borderId="1" xfId="0" applyFont="1" applyBorder="1" applyAlignment="1">
      <alignment vertical="top"/>
    </xf>
    <xf numFmtId="0" fontId="0" fillId="0" borderId="0" xfId="0" applyAlignment="1">
      <alignment horizontal="center" wrapText="1"/>
    </xf>
    <xf numFmtId="0" fontId="15" fillId="4" borderId="89" xfId="0" applyFont="1" applyFill="1" applyBorder="1" applyAlignment="1">
      <alignment vertical="top" wrapText="1"/>
    </xf>
    <xf numFmtId="0" fontId="15" fillId="0" borderId="104" xfId="0" applyFont="1" applyBorder="1" applyAlignment="1">
      <alignment horizontal="left" vertical="top" wrapText="1"/>
    </xf>
    <xf numFmtId="0" fontId="9" fillId="0" borderId="110" xfId="0" applyFont="1" applyBorder="1" applyAlignment="1">
      <alignment horizontal="left" vertical="top" wrapText="1"/>
    </xf>
    <xf numFmtId="0" fontId="21" fillId="0" borderId="104" xfId="0" applyFont="1" applyBorder="1"/>
    <xf numFmtId="9" fontId="9" fillId="0" borderId="101" xfId="0" applyNumberFormat="1" applyFont="1" applyFill="1" applyBorder="1" applyAlignment="1">
      <alignment horizontal="left" vertical="top" wrapText="1"/>
    </xf>
    <xf numFmtId="9" fontId="9" fillId="0" borderId="103" xfId="0" applyNumberFormat="1" applyFont="1" applyFill="1" applyBorder="1" applyAlignment="1">
      <alignment horizontal="center" vertical="top" wrapText="1"/>
    </xf>
    <xf numFmtId="0" fontId="15" fillId="0" borderId="87" xfId="0" applyFont="1" applyFill="1" applyBorder="1" applyAlignment="1">
      <alignment horizontal="left" vertical="top" wrapText="1"/>
    </xf>
    <xf numFmtId="0" fontId="21" fillId="0" borderId="7" xfId="0" applyFont="1" applyFill="1" applyBorder="1" applyAlignment="1">
      <alignment horizontal="left" vertical="top" wrapText="1"/>
    </xf>
    <xf numFmtId="0" fontId="9" fillId="0" borderId="87" xfId="0" applyFont="1" applyBorder="1" applyAlignment="1">
      <alignment vertical="top" wrapText="1"/>
    </xf>
    <xf numFmtId="0" fontId="21" fillId="0" borderId="104" xfId="0" applyFont="1" applyBorder="1" applyAlignment="1">
      <alignment vertical="center" wrapText="1"/>
    </xf>
    <xf numFmtId="0" fontId="21" fillId="0" borderId="30" xfId="0" applyFont="1" applyBorder="1" applyAlignment="1">
      <alignment vertical="center" wrapText="1"/>
    </xf>
    <xf numFmtId="0" fontId="9" fillId="0" borderId="30" xfId="0" applyFont="1" applyFill="1" applyBorder="1" applyAlignment="1">
      <alignment vertical="center" wrapText="1"/>
    </xf>
    <xf numFmtId="0" fontId="9" fillId="0" borderId="113" xfId="0" applyFont="1" applyBorder="1" applyAlignment="1">
      <alignment vertical="center" wrapText="1"/>
    </xf>
    <xf numFmtId="0" fontId="9" fillId="0" borderId="99" xfId="0" applyFont="1" applyBorder="1" applyAlignment="1">
      <alignment horizontal="center" vertical="top" wrapText="1"/>
    </xf>
    <xf numFmtId="0" fontId="9" fillId="0" borderId="29" xfId="0" applyFont="1" applyBorder="1" applyAlignment="1">
      <alignment horizontal="center" vertical="top"/>
    </xf>
    <xf numFmtId="0" fontId="9" fillId="0" borderId="23" xfId="0" applyFont="1" applyBorder="1" applyAlignment="1">
      <alignment vertical="center" wrapText="1"/>
    </xf>
    <xf numFmtId="0" fontId="9" fillId="0" borderId="13" xfId="0" applyFont="1" applyBorder="1" applyAlignment="1">
      <alignment vertical="center" wrapText="1"/>
    </xf>
    <xf numFmtId="0" fontId="9" fillId="0" borderId="72" xfId="0" applyFont="1" applyBorder="1" applyAlignment="1">
      <alignment vertical="center" wrapText="1"/>
    </xf>
    <xf numFmtId="0" fontId="21" fillId="0" borderId="72" xfId="0" applyFont="1" applyBorder="1" applyAlignment="1">
      <alignment vertical="center"/>
    </xf>
    <xf numFmtId="0" fontId="9" fillId="0" borderId="12" xfId="0" applyFont="1" applyBorder="1" applyAlignment="1">
      <alignment vertical="center" wrapText="1"/>
    </xf>
    <xf numFmtId="0" fontId="9" fillId="14" borderId="101" xfId="0" applyFont="1" applyFill="1" applyBorder="1"/>
    <xf numFmtId="0" fontId="9" fillId="14" borderId="102" xfId="0" applyFont="1" applyFill="1" applyBorder="1"/>
    <xf numFmtId="0" fontId="9" fillId="14" borderId="103" xfId="0" applyFont="1" applyFill="1" applyBorder="1"/>
    <xf numFmtId="0" fontId="9" fillId="14" borderId="7" xfId="0" applyFont="1" applyFill="1" applyBorder="1"/>
    <xf numFmtId="0" fontId="9" fillId="14" borderId="2" xfId="0" applyFont="1" applyFill="1" applyBorder="1"/>
    <xf numFmtId="0" fontId="9" fillId="14" borderId="107" xfId="0" applyFont="1" applyFill="1" applyBorder="1"/>
    <xf numFmtId="0" fontId="9" fillId="14" borderId="108" xfId="0" applyFont="1" applyFill="1" applyBorder="1"/>
    <xf numFmtId="0" fontId="9" fillId="14" borderId="109" xfId="0" applyFont="1" applyFill="1" applyBorder="1"/>
    <xf numFmtId="0" fontId="15" fillId="20" borderId="0" xfId="0" applyFont="1" applyFill="1" applyBorder="1" applyAlignment="1">
      <alignment horizontal="left"/>
    </xf>
    <xf numFmtId="0" fontId="9" fillId="20" borderId="0" xfId="0" applyFont="1" applyFill="1" applyBorder="1" applyAlignment="1">
      <alignment horizontal="left"/>
    </xf>
    <xf numFmtId="0" fontId="9" fillId="20" borderId="108" xfId="0" applyFont="1" applyFill="1" applyBorder="1" applyAlignment="1">
      <alignment horizontal="left"/>
    </xf>
    <xf numFmtId="0" fontId="9" fillId="0" borderId="19" xfId="0" applyFont="1" applyBorder="1" applyAlignment="1">
      <alignment horizontal="center" vertical="top" wrapText="1"/>
    </xf>
    <xf numFmtId="0" fontId="9" fillId="0" borderId="25" xfId="0" applyFont="1" applyBorder="1" applyAlignment="1">
      <alignment horizontal="center" vertical="top" wrapText="1"/>
    </xf>
    <xf numFmtId="0" fontId="9" fillId="20" borderId="0" xfId="0" applyFont="1" applyFill="1" applyBorder="1"/>
    <xf numFmtId="0" fontId="9" fillId="14" borderId="103" xfId="0" applyFont="1" applyFill="1" applyBorder="1" applyAlignment="1">
      <alignment horizontal="center" vertical="top"/>
    </xf>
    <xf numFmtId="0" fontId="9" fillId="14" borderId="2" xfId="0" applyFont="1" applyFill="1" applyBorder="1" applyAlignment="1">
      <alignment horizontal="center" vertical="top"/>
    </xf>
    <xf numFmtId="0" fontId="9" fillId="14" borderId="109" xfId="0" applyFont="1" applyFill="1" applyBorder="1" applyAlignment="1">
      <alignment horizontal="center" vertical="top"/>
    </xf>
    <xf numFmtId="0" fontId="15" fillId="4" borderId="33" xfId="0" applyFont="1" applyFill="1" applyBorder="1" applyAlignment="1">
      <alignment horizontal="center" vertical="top" wrapText="1"/>
    </xf>
    <xf numFmtId="3" fontId="9" fillId="17" borderId="102" xfId="0" applyNumberFormat="1" applyFont="1" applyFill="1" applyBorder="1" applyAlignment="1">
      <alignment horizontal="left" vertical="top" wrapText="1"/>
    </xf>
    <xf numFmtId="3" fontId="9" fillId="17" borderId="108" xfId="0" applyNumberFormat="1" applyFont="1" applyFill="1" applyBorder="1" applyAlignment="1">
      <alignment horizontal="left" vertical="top" wrapText="1"/>
    </xf>
    <xf numFmtId="0" fontId="9" fillId="0" borderId="110" xfId="0" applyFont="1" applyBorder="1"/>
    <xf numFmtId="0" fontId="9" fillId="0" borderId="99" xfId="0" applyFont="1" applyFill="1" applyBorder="1" applyAlignment="1">
      <alignment horizontal="center" vertical="top" wrapText="1"/>
    </xf>
    <xf numFmtId="0" fontId="9" fillId="0" borderId="110" xfId="0" applyFont="1" applyBorder="1" applyAlignment="1">
      <alignment horizontal="center" vertical="top" wrapText="1"/>
    </xf>
    <xf numFmtId="0" fontId="9" fillId="0" borderId="107" xfId="0" applyFont="1" applyBorder="1" applyAlignment="1">
      <alignment horizontal="center" vertical="top" wrapText="1"/>
    </xf>
    <xf numFmtId="0" fontId="9" fillId="0" borderId="102" xfId="0" applyFont="1" applyBorder="1" applyAlignment="1">
      <alignment horizontal="left" vertical="top" wrapText="1"/>
    </xf>
    <xf numFmtId="0" fontId="9" fillId="0" borderId="7" xfId="0" applyFont="1" applyBorder="1" applyAlignment="1">
      <alignment horizontal="center"/>
    </xf>
    <xf numFmtId="0" fontId="15" fillId="0" borderId="104" xfId="0" applyFont="1" applyBorder="1" applyAlignment="1">
      <alignment horizontal="center" vertical="top" wrapText="1"/>
    </xf>
    <xf numFmtId="0" fontId="9" fillId="7" borderId="7" xfId="0" applyFont="1" applyFill="1" applyBorder="1" applyAlignment="1">
      <alignment vertical="top" wrapText="1"/>
    </xf>
    <xf numFmtId="0" fontId="9" fillId="0" borderId="2" xfId="0" applyFont="1" applyBorder="1" applyAlignment="1">
      <alignment horizontal="center"/>
    </xf>
    <xf numFmtId="0" fontId="9" fillId="7" borderId="107" xfId="0" applyFont="1" applyFill="1" applyBorder="1" applyAlignment="1">
      <alignment horizontal="left" vertical="top" wrapText="1"/>
    </xf>
    <xf numFmtId="0" fontId="9" fillId="0" borderId="110" xfId="0" applyFont="1" applyBorder="1" applyAlignment="1">
      <alignment horizontal="center"/>
    </xf>
    <xf numFmtId="0" fontId="15" fillId="0" borderId="101" xfId="0" applyFont="1" applyBorder="1" applyAlignment="1">
      <alignment horizontal="center"/>
    </xf>
    <xf numFmtId="3" fontId="9" fillId="0" borderId="102" xfId="0" applyNumberFormat="1" applyFont="1" applyBorder="1" applyAlignment="1">
      <alignment horizontal="left" vertical="top" wrapText="1"/>
    </xf>
    <xf numFmtId="3" fontId="9" fillId="0" borderId="103" xfId="0" applyNumberFormat="1" applyFont="1" applyBorder="1" applyAlignment="1">
      <alignment horizontal="left" vertical="top" wrapText="1"/>
    </xf>
    <xf numFmtId="0" fontId="9" fillId="17" borderId="0" xfId="0" applyFont="1" applyFill="1" applyBorder="1"/>
    <xf numFmtId="0" fontId="9" fillId="17" borderId="0" xfId="0" applyFont="1" applyFill="1" applyBorder="1" applyAlignment="1">
      <alignment horizontal="center" wrapText="1"/>
    </xf>
    <xf numFmtId="0" fontId="9" fillId="17" borderId="103" xfId="0" applyFont="1" applyFill="1" applyBorder="1"/>
    <xf numFmtId="0" fontId="9" fillId="17" borderId="2" xfId="0" applyFont="1" applyFill="1" applyBorder="1"/>
    <xf numFmtId="0" fontId="9" fillId="17" borderId="108" xfId="0" applyFont="1" applyFill="1" applyBorder="1" applyAlignment="1">
      <alignment horizontal="center" wrapText="1"/>
    </xf>
    <xf numFmtId="0" fontId="9" fillId="17" borderId="108" xfId="0" applyFont="1" applyFill="1" applyBorder="1"/>
    <xf numFmtId="0" fontId="9" fillId="17" borderId="109" xfId="0" applyFont="1" applyFill="1" applyBorder="1"/>
    <xf numFmtId="3" fontId="9" fillId="17" borderId="102" xfId="0" applyNumberFormat="1" applyFont="1" applyFill="1" applyBorder="1" applyAlignment="1">
      <alignment horizontal="center" vertical="top" wrapText="1"/>
    </xf>
    <xf numFmtId="3" fontId="9" fillId="17" borderId="108" xfId="0" applyNumberFormat="1" applyFont="1" applyFill="1" applyBorder="1" applyAlignment="1">
      <alignment horizontal="center" vertical="top" wrapText="1"/>
    </xf>
    <xf numFmtId="0" fontId="15" fillId="0" borderId="104" xfId="0" applyFont="1" applyBorder="1" applyAlignment="1">
      <alignment vertical="top" wrapText="1"/>
    </xf>
    <xf numFmtId="3" fontId="9" fillId="0" borderId="108" xfId="0" applyNumberFormat="1" applyFont="1" applyFill="1" applyBorder="1" applyAlignment="1">
      <alignment horizontal="center" vertical="top" wrapText="1"/>
    </xf>
    <xf numFmtId="0" fontId="15" fillId="0" borderId="110" xfId="0" applyFont="1" applyBorder="1" applyAlignment="1">
      <alignment horizontal="center" vertical="top" wrapText="1"/>
    </xf>
    <xf numFmtId="0" fontId="9" fillId="0" borderId="87" xfId="0" applyFont="1" applyBorder="1" applyAlignment="1">
      <alignment wrapText="1"/>
    </xf>
    <xf numFmtId="0" fontId="9" fillId="0" borderId="87" xfId="0" applyFont="1" applyBorder="1"/>
    <xf numFmtId="0" fontId="9" fillId="0" borderId="110" xfId="0" applyFont="1" applyBorder="1" applyAlignment="1">
      <alignment vertical="top" wrapText="1"/>
    </xf>
    <xf numFmtId="0" fontId="11" fillId="0" borderId="107" xfId="0" applyFont="1" applyBorder="1" applyAlignment="1">
      <alignment horizontal="center" vertical="top" wrapText="1"/>
    </xf>
    <xf numFmtId="0" fontId="11" fillId="0" borderId="89" xfId="0" applyFont="1" applyBorder="1" applyAlignment="1">
      <alignment horizontal="center" vertical="top" wrapText="1"/>
    </xf>
    <xf numFmtId="0" fontId="11" fillId="0" borderId="90" xfId="0" applyFont="1" applyBorder="1" applyAlignment="1">
      <alignment horizontal="center" vertical="top" wrapText="1"/>
    </xf>
    <xf numFmtId="0" fontId="11" fillId="0" borderId="101" xfId="0" applyFont="1" applyBorder="1" applyAlignment="1">
      <alignment vertical="top"/>
    </xf>
    <xf numFmtId="0" fontId="15" fillId="8" borderId="110" xfId="0" applyFont="1" applyFill="1" applyBorder="1" applyAlignment="1">
      <alignment vertical="top" wrapText="1"/>
    </xf>
    <xf numFmtId="0" fontId="15" fillId="9" borderId="109" xfId="0" applyFont="1" applyFill="1" applyBorder="1" applyAlignment="1">
      <alignment vertical="top" wrapText="1"/>
    </xf>
    <xf numFmtId="0" fontId="15" fillId="14" borderId="102" xfId="0" applyFont="1" applyFill="1" applyBorder="1" applyAlignment="1">
      <alignment horizontal="center" vertical="top" wrapText="1"/>
    </xf>
    <xf numFmtId="0" fontId="15" fillId="14" borderId="101" xfId="0" applyFont="1" applyFill="1" applyBorder="1" applyAlignment="1">
      <alignment horizontal="center" vertical="top" wrapText="1"/>
    </xf>
    <xf numFmtId="0" fontId="15" fillId="0" borderId="101" xfId="0" applyFont="1" applyBorder="1" applyAlignment="1">
      <alignment vertical="top" wrapText="1"/>
    </xf>
    <xf numFmtId="0" fontId="15" fillId="4" borderId="99" xfId="0" applyFont="1" applyFill="1" applyBorder="1" applyAlignment="1">
      <alignment vertical="top" wrapText="1"/>
    </xf>
    <xf numFmtId="0" fontId="15" fillId="4" borderId="100" xfId="0" applyFont="1" applyFill="1" applyBorder="1" applyAlignment="1">
      <alignment vertical="top" wrapText="1"/>
    </xf>
    <xf numFmtId="0" fontId="15" fillId="14" borderId="108" xfId="0" applyFont="1" applyFill="1" applyBorder="1" applyAlignment="1">
      <alignment horizontal="center" vertical="top" wrapText="1"/>
    </xf>
    <xf numFmtId="0" fontId="15" fillId="14" borderId="107" xfId="0" applyFont="1" applyFill="1" applyBorder="1" applyAlignment="1">
      <alignment horizontal="center" vertical="top" wrapText="1"/>
    </xf>
    <xf numFmtId="0" fontId="15" fillId="0" borderId="110" xfId="0" applyFont="1" applyBorder="1" applyAlignment="1">
      <alignment vertical="top" wrapText="1"/>
    </xf>
    <xf numFmtId="0" fontId="15" fillId="0" borderId="109" xfId="0" applyFont="1" applyBorder="1" applyAlignment="1">
      <alignment vertical="top" wrapText="1"/>
    </xf>
    <xf numFmtId="0" fontId="15" fillId="0" borderId="87" xfId="0" applyFont="1" applyBorder="1" applyAlignment="1">
      <alignment vertical="top" wrapText="1"/>
    </xf>
    <xf numFmtId="0" fontId="9" fillId="14" borderId="101" xfId="0" applyFont="1" applyFill="1" applyBorder="1" applyAlignment="1">
      <alignment vertical="top" wrapText="1"/>
    </xf>
    <xf numFmtId="0" fontId="9" fillId="14" borderId="102" xfId="0" applyFont="1" applyFill="1" applyBorder="1" applyAlignment="1">
      <alignment vertical="top" wrapText="1"/>
    </xf>
    <xf numFmtId="0" fontId="9" fillId="14" borderId="102" xfId="0" applyFont="1" applyFill="1" applyBorder="1" applyAlignment="1">
      <alignment horizontal="center" vertical="top" wrapText="1"/>
    </xf>
    <xf numFmtId="0" fontId="9" fillId="14" borderId="103" xfId="0" applyFont="1" applyFill="1" applyBorder="1" applyAlignment="1">
      <alignment vertical="top" wrapText="1"/>
    </xf>
    <xf numFmtId="0" fontId="9" fillId="14" borderId="107" xfId="0" applyFont="1" applyFill="1" applyBorder="1" applyAlignment="1">
      <alignment vertical="top" wrapText="1"/>
    </xf>
    <xf numFmtId="0" fontId="9" fillId="14" borderId="108" xfId="0" applyFont="1" applyFill="1" applyBorder="1" applyAlignment="1">
      <alignment vertical="top" wrapText="1"/>
    </xf>
    <xf numFmtId="0" fontId="9" fillId="14" borderId="108" xfId="0" applyFont="1" applyFill="1" applyBorder="1" applyAlignment="1">
      <alignment horizontal="center" vertical="top" wrapText="1"/>
    </xf>
    <xf numFmtId="0" fontId="9" fillId="14" borderId="109" xfId="0" applyFont="1" applyFill="1" applyBorder="1" applyAlignment="1">
      <alignment vertical="top" wrapText="1"/>
    </xf>
    <xf numFmtId="0" fontId="21" fillId="15" borderId="101" xfId="0" applyFont="1" applyFill="1" applyBorder="1" applyAlignment="1">
      <alignment vertical="top" wrapText="1"/>
    </xf>
    <xf numFmtId="0" fontId="21" fillId="15" borderId="102" xfId="0" applyFont="1" applyFill="1" applyBorder="1" applyAlignment="1">
      <alignment vertical="top" wrapText="1"/>
    </xf>
    <xf numFmtId="0" fontId="56" fillId="15" borderId="102" xfId="0" applyFont="1" applyFill="1" applyBorder="1" applyAlignment="1">
      <alignment horizontal="center" vertical="top" wrapText="1"/>
    </xf>
    <xf numFmtId="0" fontId="56" fillId="15" borderId="103" xfId="0" applyFont="1" applyFill="1" applyBorder="1" applyAlignment="1">
      <alignment horizontal="center" vertical="top" wrapText="1"/>
    </xf>
    <xf numFmtId="0" fontId="21" fillId="15" borderId="108" xfId="0" applyFont="1" applyFill="1" applyBorder="1" applyAlignment="1">
      <alignment vertical="top" wrapText="1"/>
    </xf>
    <xf numFmtId="0" fontId="9" fillId="15" borderId="108" xfId="0" applyFont="1" applyFill="1" applyBorder="1" applyAlignment="1">
      <alignment horizontal="center" vertical="top" wrapText="1"/>
    </xf>
    <xf numFmtId="0" fontId="9" fillId="15" borderId="109" xfId="0" applyFont="1" applyFill="1" applyBorder="1" applyAlignment="1">
      <alignment horizontal="center" vertical="top" wrapText="1"/>
    </xf>
    <xf numFmtId="0" fontId="15" fillId="20" borderId="87" xfId="0" applyFont="1" applyFill="1" applyBorder="1" applyAlignment="1">
      <alignment horizontal="center" vertical="top" wrapText="1"/>
    </xf>
    <xf numFmtId="0" fontId="15" fillId="4" borderId="38" xfId="0" applyFont="1" applyFill="1" applyBorder="1" applyAlignment="1">
      <alignment vertical="top" wrapText="1"/>
    </xf>
    <xf numFmtId="0" fontId="15" fillId="4" borderId="104" xfId="0" applyFont="1" applyFill="1" applyBorder="1" applyAlignment="1">
      <alignment vertical="top" wrapText="1"/>
    </xf>
    <xf numFmtId="0" fontId="15" fillId="20" borderId="104" xfId="0" applyFont="1" applyFill="1" applyBorder="1" applyAlignment="1">
      <alignment horizontal="center" vertical="top" wrapText="1"/>
    </xf>
    <xf numFmtId="0" fontId="9" fillId="20" borderId="102" xfId="0" applyFont="1" applyFill="1" applyBorder="1"/>
    <xf numFmtId="0" fontId="9" fillId="20" borderId="103" xfId="0" applyFont="1" applyFill="1" applyBorder="1"/>
    <xf numFmtId="0" fontId="15" fillId="4" borderId="94" xfId="0" applyFont="1" applyFill="1" applyBorder="1" applyAlignment="1">
      <alignment vertical="top" wrapText="1"/>
    </xf>
    <xf numFmtId="0" fontId="15" fillId="4" borderId="97" xfId="0" applyFont="1" applyFill="1" applyBorder="1" applyAlignment="1">
      <alignment vertical="top" wrapText="1"/>
    </xf>
    <xf numFmtId="0" fontId="15" fillId="4" borderId="88" xfId="0" applyFont="1" applyFill="1" applyBorder="1" applyAlignment="1">
      <alignment vertical="top" wrapText="1"/>
    </xf>
    <xf numFmtId="0" fontId="15" fillId="4" borderId="94" xfId="0" applyFont="1" applyFill="1" applyBorder="1" applyAlignment="1">
      <alignment horizontal="center" vertical="top" wrapText="1"/>
    </xf>
    <xf numFmtId="0" fontId="9" fillId="17" borderId="101" xfId="0" applyFont="1" applyFill="1" applyBorder="1" applyAlignment="1">
      <alignment vertical="top" wrapText="1"/>
    </xf>
    <xf numFmtId="0" fontId="56" fillId="17" borderId="102" xfId="0" applyFont="1" applyFill="1" applyBorder="1" applyAlignment="1">
      <alignment horizontal="center" vertical="top" wrapText="1"/>
    </xf>
    <xf numFmtId="0" fontId="56" fillId="17" borderId="103" xfId="0" applyFont="1" applyFill="1" applyBorder="1" applyAlignment="1">
      <alignment horizontal="center" vertical="top" wrapText="1"/>
    </xf>
    <xf numFmtId="0" fontId="15" fillId="4" borderId="95" xfId="0" applyFont="1" applyFill="1" applyBorder="1" applyAlignment="1">
      <alignment vertical="top" wrapText="1"/>
    </xf>
    <xf numFmtId="0" fontId="15" fillId="17" borderId="88" xfId="0" applyFont="1" applyFill="1" applyBorder="1" applyAlignment="1">
      <alignment vertical="top" wrapText="1"/>
    </xf>
    <xf numFmtId="0" fontId="15" fillId="17" borderId="94" xfId="0" applyFont="1" applyFill="1" applyBorder="1" applyAlignment="1">
      <alignment vertical="top" wrapText="1"/>
    </xf>
    <xf numFmtId="0" fontId="15" fillId="17" borderId="94" xfId="0" applyFont="1" applyFill="1" applyBorder="1" applyAlignment="1">
      <alignment horizontal="center" vertical="top" wrapText="1"/>
    </xf>
    <xf numFmtId="0" fontId="15" fillId="17" borderId="95" xfId="0" applyFont="1" applyFill="1" applyBorder="1" applyAlignment="1">
      <alignment vertical="top" wrapText="1"/>
    </xf>
    <xf numFmtId="0" fontId="15" fillId="17" borderId="87" xfId="0" applyFont="1" applyFill="1" applyBorder="1" applyAlignment="1">
      <alignment vertical="top" wrapText="1"/>
    </xf>
    <xf numFmtId="0" fontId="15" fillId="4" borderId="87" xfId="0" applyFont="1" applyFill="1" applyBorder="1" applyAlignment="1">
      <alignment vertical="top" wrapText="1"/>
    </xf>
    <xf numFmtId="0" fontId="15" fillId="17" borderId="97" xfId="0" applyFont="1" applyFill="1" applyBorder="1" applyAlignment="1">
      <alignment vertical="top" wrapText="1"/>
    </xf>
    <xf numFmtId="3" fontId="9" fillId="0" borderId="109" xfId="0" applyNumberFormat="1" applyFont="1" applyFill="1" applyBorder="1" applyAlignment="1">
      <alignment horizontal="center" vertical="top" wrapText="1"/>
    </xf>
    <xf numFmtId="3" fontId="9" fillId="0" borderId="108" xfId="0" applyNumberFormat="1" applyFont="1" applyFill="1" applyBorder="1" applyAlignment="1">
      <alignment horizontal="right" vertical="top" wrapText="1"/>
    </xf>
    <xf numFmtId="3" fontId="9" fillId="0" borderId="109" xfId="0" applyNumberFormat="1" applyFont="1" applyFill="1" applyBorder="1" applyAlignment="1">
      <alignment horizontal="right" vertical="top" wrapText="1"/>
    </xf>
    <xf numFmtId="0" fontId="9" fillId="7" borderId="110" xfId="0" applyFont="1" applyFill="1" applyBorder="1" applyAlignment="1">
      <alignment vertical="top" wrapText="1"/>
    </xf>
    <xf numFmtId="0" fontId="9" fillId="0" borderId="107" xfId="0" applyFont="1" applyBorder="1" applyAlignment="1">
      <alignment vertical="top" wrapText="1"/>
    </xf>
    <xf numFmtId="0" fontId="15" fillId="8" borderId="87" xfId="0" applyFont="1" applyFill="1" applyBorder="1" applyAlignment="1">
      <alignment vertical="top" wrapText="1"/>
    </xf>
    <xf numFmtId="3" fontId="9" fillId="0" borderId="102" xfId="0" applyNumberFormat="1" applyFont="1" applyFill="1" applyBorder="1" applyAlignment="1">
      <alignment horizontal="left" vertical="top" wrapText="1"/>
    </xf>
    <xf numFmtId="3" fontId="9" fillId="0" borderId="103" xfId="0" applyNumberFormat="1" applyFont="1" applyFill="1" applyBorder="1" applyAlignment="1">
      <alignment horizontal="left" vertical="top" wrapText="1"/>
    </xf>
    <xf numFmtId="9" fontId="9" fillId="17" borderId="101" xfId="0" applyNumberFormat="1" applyFont="1" applyFill="1" applyBorder="1" applyAlignment="1">
      <alignment horizontal="left" vertical="top" wrapText="1"/>
    </xf>
    <xf numFmtId="9" fontId="9" fillId="17" borderId="102" xfId="0" applyNumberFormat="1" applyFont="1" applyFill="1" applyBorder="1" applyAlignment="1">
      <alignment horizontal="left" vertical="top" wrapText="1"/>
    </xf>
    <xf numFmtId="1" fontId="9" fillId="17" borderId="102" xfId="0" applyNumberFormat="1" applyFont="1" applyFill="1" applyBorder="1" applyAlignment="1">
      <alignment horizontal="center" vertical="top" wrapText="1"/>
    </xf>
    <xf numFmtId="1" fontId="9" fillId="17" borderId="103" xfId="0" applyNumberFormat="1" applyFont="1" applyFill="1" applyBorder="1" applyAlignment="1">
      <alignment horizontal="center" vertical="top" wrapText="1"/>
    </xf>
    <xf numFmtId="3" fontId="9" fillId="17" borderId="101" xfId="0" applyNumberFormat="1" applyFont="1" applyFill="1" applyBorder="1" applyAlignment="1">
      <alignment horizontal="left" vertical="top" wrapText="1"/>
    </xf>
    <xf numFmtId="3" fontId="9" fillId="17" borderId="103" xfId="0" applyNumberFormat="1" applyFont="1" applyFill="1" applyBorder="1" applyAlignment="1">
      <alignment horizontal="center" vertical="top" wrapText="1"/>
    </xf>
    <xf numFmtId="3" fontId="9" fillId="0" borderId="102" xfId="0" applyNumberFormat="1" applyFont="1" applyFill="1" applyBorder="1" applyAlignment="1">
      <alignment horizontal="center" vertical="top" wrapText="1"/>
    </xf>
    <xf numFmtId="3" fontId="9" fillId="0" borderId="103" xfId="0" applyNumberFormat="1" applyFont="1" applyFill="1" applyBorder="1" applyAlignment="1">
      <alignment horizontal="center" vertical="top" wrapText="1"/>
    </xf>
    <xf numFmtId="1" fontId="9" fillId="17" borderId="108" xfId="0" applyNumberFormat="1" applyFont="1" applyFill="1" applyBorder="1" applyAlignment="1">
      <alignment horizontal="center" vertical="top" wrapText="1"/>
    </xf>
    <xf numFmtId="1" fontId="9" fillId="17" borderId="109" xfId="0" applyNumberFormat="1" applyFont="1" applyFill="1" applyBorder="1" applyAlignment="1">
      <alignment horizontal="center" vertical="top" wrapText="1"/>
    </xf>
    <xf numFmtId="3" fontId="9" fillId="17" borderId="107" xfId="0" applyNumberFormat="1" applyFont="1" applyFill="1" applyBorder="1" applyAlignment="1">
      <alignment horizontal="left" vertical="top" wrapText="1"/>
    </xf>
    <xf numFmtId="3" fontId="9" fillId="17" borderId="109" xfId="0" applyNumberFormat="1" applyFont="1" applyFill="1" applyBorder="1" applyAlignment="1">
      <alignment horizontal="center" vertical="top" wrapText="1"/>
    </xf>
    <xf numFmtId="3" fontId="9" fillId="0" borderId="101" xfId="0" applyNumberFormat="1" applyFont="1" applyFill="1" applyBorder="1" applyAlignment="1">
      <alignment horizontal="left" vertical="top" wrapText="1"/>
    </xf>
    <xf numFmtId="0" fontId="15" fillId="13" borderId="87" xfId="0" applyFont="1" applyFill="1" applyBorder="1" applyAlignment="1">
      <alignment horizontal="left" vertical="top"/>
    </xf>
    <xf numFmtId="0" fontId="57" fillId="13" borderId="87" xfId="0" applyFont="1" applyFill="1" applyBorder="1" applyAlignment="1">
      <alignment horizontal="center" vertical="top" wrapText="1"/>
    </xf>
    <xf numFmtId="0" fontId="11" fillId="0" borderId="110" xfId="0" applyFont="1" applyBorder="1"/>
    <xf numFmtId="9" fontId="9" fillId="17" borderId="101" xfId="0" applyNumberFormat="1" applyFont="1" applyFill="1" applyBorder="1" applyAlignment="1">
      <alignment horizontal="center" vertical="top" wrapText="1"/>
    </xf>
    <xf numFmtId="9" fontId="9" fillId="17" borderId="102" xfId="0" applyNumberFormat="1" applyFont="1" applyFill="1" applyBorder="1" applyAlignment="1">
      <alignment horizontal="center" vertical="top" wrapText="1"/>
    </xf>
    <xf numFmtId="9" fontId="9" fillId="17" borderId="103" xfId="0" applyNumberFormat="1" applyFont="1" applyFill="1" applyBorder="1" applyAlignment="1">
      <alignment horizontal="center" vertical="top" wrapText="1"/>
    </xf>
    <xf numFmtId="3" fontId="9" fillId="17" borderId="101" xfId="0" applyNumberFormat="1" applyFont="1" applyFill="1" applyBorder="1" applyAlignment="1">
      <alignment horizontal="center" vertical="top" wrapText="1"/>
    </xf>
    <xf numFmtId="0" fontId="15" fillId="0" borderId="108" xfId="0" applyFont="1" applyBorder="1" applyAlignment="1">
      <alignment vertical="top" wrapText="1"/>
    </xf>
    <xf numFmtId="0" fontId="9" fillId="0" borderId="101" xfId="0" applyFont="1" applyFill="1" applyBorder="1" applyAlignment="1">
      <alignment horizontal="left" vertical="top"/>
    </xf>
    <xf numFmtId="0" fontId="15" fillId="3" borderId="87" xfId="0" applyFont="1" applyFill="1" applyBorder="1" applyAlignment="1">
      <alignment vertical="top" wrapText="1"/>
    </xf>
    <xf numFmtId="0" fontId="9" fillId="0" borderId="110" xfId="0" applyFont="1" applyBorder="1" applyAlignment="1">
      <alignment wrapText="1"/>
    </xf>
    <xf numFmtId="0" fontId="15" fillId="6" borderId="109" xfId="0" applyFont="1" applyFill="1" applyBorder="1" applyAlignment="1">
      <alignment vertical="top" wrapText="1"/>
    </xf>
    <xf numFmtId="0" fontId="15" fillId="6" borderId="89" xfId="0" applyFont="1" applyFill="1" applyBorder="1" applyAlignment="1">
      <alignment horizontal="center" vertical="top" wrapText="1"/>
    </xf>
    <xf numFmtId="0" fontId="15" fillId="0" borderId="109" xfId="0" applyFont="1" applyBorder="1" applyAlignment="1">
      <alignment horizontal="center" vertical="top" wrapText="1"/>
    </xf>
    <xf numFmtId="0" fontId="15" fillId="0" borderId="89" xfId="0" applyFont="1" applyBorder="1" applyAlignment="1">
      <alignment horizontal="left" vertical="top" wrapText="1"/>
    </xf>
    <xf numFmtId="0" fontId="9" fillId="15" borderId="98" xfId="0" applyFont="1" applyFill="1" applyBorder="1" applyAlignment="1">
      <alignment horizontal="center" vertical="top" wrapText="1"/>
    </xf>
    <xf numFmtId="0" fontId="9" fillId="15" borderId="99" xfId="0" applyFont="1" applyFill="1" applyBorder="1" applyAlignment="1">
      <alignment horizontal="center" vertical="top" wrapText="1"/>
    </xf>
    <xf numFmtId="0" fontId="9" fillId="15" borderId="100" xfId="0" applyFont="1" applyFill="1" applyBorder="1" applyAlignment="1">
      <alignment horizontal="center" vertical="top" wrapText="1"/>
    </xf>
    <xf numFmtId="0" fontId="9" fillId="0" borderId="98" xfId="0" applyFont="1" applyBorder="1" applyAlignment="1">
      <alignment horizontal="center" vertical="top" wrapText="1"/>
    </xf>
    <xf numFmtId="0" fontId="9" fillId="0" borderId="100" xfId="0" applyFont="1" applyBorder="1" applyAlignment="1">
      <alignment horizontal="center" vertical="top" wrapText="1"/>
    </xf>
    <xf numFmtId="0" fontId="9" fillId="15" borderId="98" xfId="0" applyFont="1" applyFill="1" applyBorder="1" applyAlignment="1">
      <alignment vertical="top" wrapText="1"/>
    </xf>
    <xf numFmtId="0" fontId="9" fillId="15" borderId="99" xfId="0" applyFont="1" applyFill="1" applyBorder="1" applyAlignment="1">
      <alignment vertical="top" wrapText="1"/>
    </xf>
    <xf numFmtId="0" fontId="9" fillId="15" borderId="100" xfId="0" applyFont="1" applyFill="1" applyBorder="1" applyAlignment="1">
      <alignment vertical="top" wrapText="1"/>
    </xf>
    <xf numFmtId="0" fontId="20" fillId="4" borderId="94" xfId="0" applyFont="1" applyFill="1" applyBorder="1" applyAlignment="1">
      <alignment horizontal="center" vertical="top" wrapText="1"/>
    </xf>
    <xf numFmtId="0" fontId="20" fillId="4" borderId="97" xfId="0" applyFont="1" applyFill="1" applyBorder="1" applyAlignment="1">
      <alignment horizontal="center" vertical="top" wrapText="1"/>
    </xf>
    <xf numFmtId="0" fontId="20" fillId="4" borderId="88" xfId="0" applyFont="1" applyFill="1" applyBorder="1" applyAlignment="1">
      <alignment horizontal="center" vertical="top" wrapText="1"/>
    </xf>
    <xf numFmtId="0" fontId="11" fillId="0" borderId="94" xfId="0" applyFont="1" applyBorder="1" applyAlignment="1">
      <alignment horizontal="center" vertical="top" wrapText="1"/>
    </xf>
    <xf numFmtId="0" fontId="11" fillId="0" borderId="97" xfId="0" applyFont="1" applyBorder="1" applyAlignment="1">
      <alignment horizontal="center" vertical="top" wrapText="1"/>
    </xf>
    <xf numFmtId="0" fontId="9" fillId="0" borderId="110" xfId="0" applyFont="1" applyBorder="1" applyAlignment="1">
      <alignment vertical="center" wrapText="1"/>
    </xf>
    <xf numFmtId="0" fontId="15" fillId="6" borderId="89" xfId="0" applyFont="1" applyFill="1" applyBorder="1" applyAlignment="1">
      <alignment horizontal="left" vertical="top" wrapText="1"/>
    </xf>
    <xf numFmtId="0" fontId="15" fillId="0" borderId="87" xfId="0" applyFont="1" applyBorder="1" applyAlignment="1">
      <alignment horizontal="right" vertical="top" wrapText="1"/>
    </xf>
    <xf numFmtId="0" fontId="15" fillId="6" borderId="110" xfId="0" applyFont="1" applyFill="1" applyBorder="1" applyAlignment="1">
      <alignment vertical="top" wrapText="1"/>
    </xf>
    <xf numFmtId="3" fontId="11" fillId="17" borderId="108" xfId="0" applyNumberFormat="1" applyFont="1" applyFill="1" applyBorder="1" applyAlignment="1">
      <alignment horizontal="center" vertical="top" wrapText="1"/>
    </xf>
    <xf numFmtId="0" fontId="11" fillId="0" borderId="110" xfId="0" applyFont="1" applyBorder="1" applyAlignment="1">
      <alignment horizontal="center" vertical="top" wrapText="1"/>
    </xf>
    <xf numFmtId="0" fontId="20" fillId="9" borderId="109" xfId="0" applyFont="1" applyFill="1" applyBorder="1" applyAlignment="1">
      <alignment vertical="top" wrapText="1"/>
    </xf>
    <xf numFmtId="0" fontId="15" fillId="5" borderId="109" xfId="0" applyFont="1" applyFill="1" applyBorder="1" applyAlignment="1">
      <alignment vertical="top" wrapText="1"/>
    </xf>
    <xf numFmtId="0" fontId="20" fillId="5" borderId="109" xfId="0" applyFont="1" applyFill="1" applyBorder="1" applyAlignment="1">
      <alignment vertical="top" wrapText="1"/>
    </xf>
    <xf numFmtId="3" fontId="9" fillId="0" borderId="107" xfId="0" applyNumberFormat="1" applyFont="1" applyBorder="1" applyAlignment="1">
      <alignment vertical="top" wrapText="1"/>
    </xf>
    <xf numFmtId="3" fontId="9" fillId="0" borderId="108" xfId="0" applyNumberFormat="1" applyFont="1" applyBorder="1" applyAlignment="1">
      <alignment vertical="top" wrapText="1"/>
    </xf>
    <xf numFmtId="0" fontId="20" fillId="6" borderId="109" xfId="0" applyFont="1" applyFill="1" applyBorder="1" applyAlignment="1">
      <alignment vertical="top" wrapText="1"/>
    </xf>
    <xf numFmtId="0" fontId="20" fillId="0" borderId="109" xfId="0" applyFont="1" applyBorder="1" applyAlignment="1">
      <alignment vertical="top" wrapText="1"/>
    </xf>
    <xf numFmtId="0" fontId="20" fillId="6" borderId="87" xfId="0" applyFont="1" applyFill="1" applyBorder="1" applyAlignment="1">
      <alignment vertical="top" wrapText="1"/>
    </xf>
    <xf numFmtId="0" fontId="20" fillId="0" borderId="108" xfId="0" applyFont="1" applyBorder="1" applyAlignment="1">
      <alignment vertical="top" wrapText="1"/>
    </xf>
    <xf numFmtId="0" fontId="15" fillId="5" borderId="90" xfId="0" applyFont="1" applyFill="1" applyBorder="1" applyAlignment="1">
      <alignment vertical="top" wrapText="1"/>
    </xf>
    <xf numFmtId="0" fontId="20" fillId="5" borderId="90" xfId="0" applyFont="1" applyFill="1" applyBorder="1" applyAlignment="1">
      <alignment vertical="top" wrapText="1"/>
    </xf>
    <xf numFmtId="3" fontId="11" fillId="0" borderId="107" xfId="0" applyNumberFormat="1" applyFont="1" applyFill="1" applyBorder="1" applyAlignment="1">
      <alignment horizontal="center" vertical="top" wrapText="1"/>
    </xf>
    <xf numFmtId="3" fontId="11" fillId="0" borderId="108" xfId="0" applyNumberFormat="1" applyFont="1" applyFill="1" applyBorder="1" applyAlignment="1">
      <alignment horizontal="center" vertical="top" wrapText="1"/>
    </xf>
    <xf numFmtId="0" fontId="15" fillId="13" borderId="109" xfId="0" applyFont="1" applyFill="1" applyBorder="1" applyAlignment="1"/>
    <xf numFmtId="0" fontId="11" fillId="13" borderId="88" xfId="0" applyFont="1" applyFill="1" applyBorder="1" applyAlignment="1">
      <alignment horizontal="center" vertical="top" wrapText="1"/>
    </xf>
    <xf numFmtId="0" fontId="11" fillId="0" borderId="103" xfId="0" applyFont="1" applyFill="1" applyBorder="1" applyAlignment="1">
      <alignment vertical="top" wrapText="1"/>
    </xf>
    <xf numFmtId="3" fontId="11" fillId="0" borderId="101" xfId="0" applyNumberFormat="1" applyFont="1" applyFill="1" applyBorder="1" applyAlignment="1">
      <alignment horizontal="center" vertical="top" wrapText="1"/>
    </xf>
    <xf numFmtId="3" fontId="11" fillId="0" borderId="102" xfId="0" applyNumberFormat="1" applyFont="1" applyFill="1" applyBorder="1" applyAlignment="1">
      <alignment horizontal="center" vertical="top" wrapText="1"/>
    </xf>
    <xf numFmtId="0" fontId="9" fillId="0" borderId="104" xfId="0" applyFont="1" applyBorder="1" applyAlignment="1">
      <alignment horizontal="left" vertical="center" wrapText="1"/>
    </xf>
    <xf numFmtId="0" fontId="15" fillId="16" borderId="87" xfId="0" applyFont="1" applyFill="1" applyBorder="1" applyAlignment="1">
      <alignment vertical="top" wrapText="1"/>
    </xf>
    <xf numFmtId="0" fontId="11" fillId="16" borderId="87" xfId="0" applyFont="1" applyFill="1" applyBorder="1" applyAlignment="1">
      <alignment horizontal="center" vertical="top"/>
    </xf>
    <xf numFmtId="0" fontId="20" fillId="0" borderId="110" xfId="0" applyFont="1" applyBorder="1" applyAlignment="1">
      <alignment horizontal="center" vertical="top"/>
    </xf>
    <xf numFmtId="0" fontId="20" fillId="0" borderId="104" xfId="0" applyFont="1" applyBorder="1" applyAlignment="1">
      <alignment horizontal="center" vertical="top"/>
    </xf>
    <xf numFmtId="0" fontId="9" fillId="0" borderId="100" xfId="0" applyFont="1" applyFill="1" applyBorder="1" applyAlignment="1">
      <alignment horizontal="center" vertical="top" wrapText="1"/>
    </xf>
    <xf numFmtId="0" fontId="9" fillId="15" borderId="48" xfId="0" applyFont="1" applyFill="1" applyBorder="1" applyAlignment="1">
      <alignment horizontal="center" vertical="top" wrapText="1"/>
    </xf>
    <xf numFmtId="0" fontId="15" fillId="13" borderId="87" xfId="0" applyFont="1" applyFill="1" applyBorder="1" applyAlignment="1">
      <alignment vertical="top" wrapText="1"/>
    </xf>
    <xf numFmtId="0" fontId="15" fillId="2" borderId="87" xfId="0" applyFont="1" applyFill="1" applyBorder="1" applyAlignment="1">
      <alignment vertical="top" wrapText="1"/>
    </xf>
    <xf numFmtId="0" fontId="20" fillId="2" borderId="87" xfId="0" applyFont="1" applyFill="1" applyBorder="1" applyAlignment="1">
      <alignment vertical="top" wrapText="1"/>
    </xf>
    <xf numFmtId="0" fontId="15" fillId="0" borderId="115" xfId="0" applyFont="1" applyBorder="1" applyAlignment="1">
      <alignment horizontal="center" vertical="top" wrapText="1"/>
    </xf>
    <xf numFmtId="0" fontId="20" fillId="0" borderId="115" xfId="0" applyFont="1" applyBorder="1" applyAlignment="1">
      <alignment vertical="top" wrapText="1"/>
    </xf>
    <xf numFmtId="0" fontId="15" fillId="2" borderId="115" xfId="0" applyFont="1" applyFill="1" applyBorder="1" applyAlignment="1">
      <alignment vertical="top" wrapText="1"/>
    </xf>
    <xf numFmtId="0" fontId="20" fillId="2" borderId="115" xfId="0" applyFont="1" applyFill="1" applyBorder="1" applyAlignment="1">
      <alignment vertical="top" wrapText="1"/>
    </xf>
    <xf numFmtId="0" fontId="9" fillId="0" borderId="117" xfId="0" applyFont="1" applyFill="1" applyBorder="1" applyAlignment="1">
      <alignment horizontal="center" vertical="top" wrapText="1"/>
    </xf>
    <xf numFmtId="0" fontId="9" fillId="0" borderId="117" xfId="0" applyFont="1" applyBorder="1" applyAlignment="1">
      <alignment horizontal="center" vertical="top" wrapText="1"/>
    </xf>
    <xf numFmtId="0" fontId="61" fillId="0" borderId="101" xfId="0" applyFont="1" applyFill="1" applyBorder="1"/>
    <xf numFmtId="0" fontId="15" fillId="4" borderId="96" xfId="0" applyFont="1" applyFill="1" applyBorder="1" applyAlignment="1">
      <alignment vertical="top" wrapText="1"/>
    </xf>
    <xf numFmtId="165" fontId="9" fillId="0" borderId="28" xfId="75" applyNumberFormat="1" applyFont="1" applyFill="1" applyBorder="1" applyAlignment="1">
      <alignment horizontal="right" vertical="top" wrapText="1"/>
    </xf>
    <xf numFmtId="165" fontId="9" fillId="0" borderId="18" xfId="75" applyNumberFormat="1" applyFont="1" applyFill="1" applyBorder="1" applyAlignment="1">
      <alignment horizontal="right" vertical="top" wrapText="1"/>
    </xf>
    <xf numFmtId="165" fontId="15" fillId="0" borderId="29" xfId="75" applyNumberFormat="1" applyFont="1" applyBorder="1" applyAlignment="1">
      <alignment horizontal="right"/>
    </xf>
    <xf numFmtId="165" fontId="9" fillId="0" borderId="6" xfId="75" applyNumberFormat="1" applyFont="1" applyFill="1" applyBorder="1" applyAlignment="1">
      <alignment horizontal="right" vertical="top" wrapText="1"/>
    </xf>
    <xf numFmtId="165" fontId="9" fillId="0" borderId="5" xfId="75" applyNumberFormat="1" applyFont="1" applyFill="1" applyBorder="1" applyAlignment="1">
      <alignment horizontal="right" vertical="top" wrapText="1"/>
    </xf>
    <xf numFmtId="165" fontId="15" fillId="0" borderId="4" xfId="75" applyNumberFormat="1" applyFont="1" applyBorder="1" applyAlignment="1">
      <alignment horizontal="right"/>
    </xf>
    <xf numFmtId="0" fontId="62" fillId="0" borderId="0" xfId="0" applyFont="1"/>
    <xf numFmtId="0" fontId="46" fillId="0" borderId="1" xfId="0" applyFont="1" applyBorder="1" applyAlignment="1">
      <alignment vertical="center"/>
    </xf>
    <xf numFmtId="3" fontId="47" fillId="0" borderId="0" xfId="0" applyNumberFormat="1" applyFont="1" applyBorder="1" applyAlignment="1">
      <alignment vertical="center"/>
    </xf>
    <xf numFmtId="1" fontId="0" fillId="0" borderId="0" xfId="0" applyNumberFormat="1" applyBorder="1"/>
    <xf numFmtId="0" fontId="0" fillId="16" borderId="0" xfId="0" applyFill="1" applyBorder="1"/>
    <xf numFmtId="0" fontId="46" fillId="0" borderId="0" xfId="0" applyFont="1" applyBorder="1" applyAlignment="1">
      <alignment vertical="center"/>
    </xf>
    <xf numFmtId="0" fontId="0" fillId="0" borderId="0" xfId="0" applyFont="1" applyBorder="1"/>
    <xf numFmtId="0" fontId="47" fillId="0" borderId="101" xfId="0" applyFont="1" applyFill="1" applyBorder="1" applyAlignment="1">
      <alignment vertical="center"/>
    </xf>
    <xf numFmtId="0" fontId="0" fillId="0" borderId="102" xfId="0" applyFont="1" applyBorder="1"/>
    <xf numFmtId="0" fontId="0" fillId="0" borderId="103" xfId="0" applyBorder="1"/>
    <xf numFmtId="0" fontId="47" fillId="0" borderId="7" xfId="0" applyFont="1" applyFill="1" applyBorder="1" applyAlignment="1">
      <alignment vertical="center"/>
    </xf>
    <xf numFmtId="0" fontId="0" fillId="0" borderId="2" xfId="0" applyBorder="1"/>
    <xf numFmtId="0" fontId="47" fillId="0" borderId="107" xfId="0" applyFont="1" applyFill="1" applyBorder="1" applyAlignment="1">
      <alignment vertical="center"/>
    </xf>
    <xf numFmtId="0" fontId="0" fillId="0" borderId="117" xfId="0" applyFont="1" applyBorder="1"/>
    <xf numFmtId="0" fontId="0" fillId="0" borderId="117" xfId="0" applyBorder="1"/>
    <xf numFmtId="0" fontId="0" fillId="0" borderId="115" xfId="0" applyBorder="1"/>
    <xf numFmtId="0" fontId="46" fillId="0" borderId="110" xfId="0" applyFont="1" applyBorder="1" applyAlignment="1">
      <alignment vertical="center"/>
    </xf>
    <xf numFmtId="3" fontId="47" fillId="0" borderId="115" xfId="0" applyNumberFormat="1" applyFont="1" applyBorder="1" applyAlignment="1">
      <alignment vertical="center"/>
    </xf>
    <xf numFmtId="3" fontId="47" fillId="0" borderId="117" xfId="0" applyNumberFormat="1" applyFont="1" applyBorder="1" applyAlignment="1">
      <alignment vertical="center"/>
    </xf>
    <xf numFmtId="1" fontId="0" fillId="0" borderId="29" xfId="0" applyNumberFormat="1" applyBorder="1"/>
    <xf numFmtId="0" fontId="0" fillId="0" borderId="87" xfId="0" applyBorder="1"/>
    <xf numFmtId="0" fontId="0" fillId="0" borderId="1" xfId="0" applyBorder="1"/>
    <xf numFmtId="0" fontId="0" fillId="0" borderId="110" xfId="0" applyBorder="1"/>
    <xf numFmtId="0" fontId="46" fillId="0" borderId="96" xfId="0" applyFont="1" applyBorder="1" applyAlignment="1">
      <alignment vertical="center"/>
    </xf>
    <xf numFmtId="0" fontId="46" fillId="0" borderId="94" xfId="0" applyFont="1" applyBorder="1" applyAlignment="1">
      <alignment vertical="center"/>
    </xf>
    <xf numFmtId="0" fontId="46" fillId="0" borderId="94" xfId="0" applyFont="1" applyBorder="1" applyAlignment="1">
      <alignment vertical="center" wrapText="1"/>
    </xf>
    <xf numFmtId="0" fontId="35" fillId="0" borderId="94" xfId="0" applyFont="1" applyBorder="1" applyAlignment="1">
      <alignment wrapText="1"/>
    </xf>
    <xf numFmtId="0" fontId="35" fillId="0" borderId="94" xfId="0" applyFont="1" applyBorder="1"/>
    <xf numFmtId="0" fontId="35" fillId="0" borderId="97" xfId="0" applyFont="1" applyBorder="1"/>
    <xf numFmtId="0" fontId="46" fillId="0" borderId="87" xfId="0" applyFont="1" applyBorder="1" applyAlignment="1">
      <alignment vertical="center"/>
    </xf>
    <xf numFmtId="3" fontId="47" fillId="0" borderId="90" xfId="0" applyNumberFormat="1" applyFont="1" applyBorder="1" applyAlignment="1">
      <alignment vertical="center"/>
    </xf>
    <xf numFmtId="3" fontId="47" fillId="0" borderId="89" xfId="0" applyNumberFormat="1" applyFont="1" applyBorder="1" applyAlignment="1">
      <alignment vertical="center"/>
    </xf>
    <xf numFmtId="1" fontId="0" fillId="0" borderId="99" xfId="0" applyNumberFormat="1" applyBorder="1"/>
    <xf numFmtId="1" fontId="0" fillId="0" borderId="100" xfId="0" applyNumberFormat="1" applyBorder="1"/>
    <xf numFmtId="165" fontId="44" fillId="0" borderId="0" xfId="92" applyNumberFormat="1" applyFont="1" applyFill="1" applyBorder="1" applyAlignment="1">
      <alignment horizontal="left" wrapText="1"/>
    </xf>
    <xf numFmtId="3" fontId="46" fillId="0" borderId="115" xfId="0" applyNumberFormat="1" applyFont="1" applyBorder="1" applyAlignment="1">
      <alignment vertical="center"/>
    </xf>
    <xf numFmtId="3" fontId="46" fillId="0" borderId="117" xfId="0" applyNumberFormat="1" applyFont="1" applyBorder="1" applyAlignment="1">
      <alignment vertical="center"/>
    </xf>
    <xf numFmtId="0" fontId="15" fillId="16" borderId="41" xfId="0" applyFont="1" applyFill="1" applyBorder="1"/>
    <xf numFmtId="0" fontId="15" fillId="0" borderId="41" xfId="0" applyFont="1" applyFill="1" applyBorder="1"/>
    <xf numFmtId="1" fontId="15" fillId="0" borderId="41" xfId="0" applyNumberFormat="1" applyFont="1" applyBorder="1"/>
    <xf numFmtId="0" fontId="15" fillId="0" borderId="3" xfId="0" applyFont="1" applyBorder="1"/>
    <xf numFmtId="0" fontId="15" fillId="0" borderId="41" xfId="0" applyFont="1" applyBorder="1"/>
    <xf numFmtId="165" fontId="0" fillId="0" borderId="0" xfId="0" applyNumberFormat="1"/>
    <xf numFmtId="0" fontId="15" fillId="0" borderId="0" xfId="0" applyFont="1" applyBorder="1"/>
    <xf numFmtId="0" fontId="15" fillId="0" borderId="0" xfId="0" applyFont="1" applyBorder="1" applyAlignment="1">
      <alignment wrapText="1"/>
    </xf>
    <xf numFmtId="165" fontId="15" fillId="0" borderId="0" xfId="0" applyNumberFormat="1" applyFont="1" applyBorder="1"/>
    <xf numFmtId="0" fontId="46" fillId="0" borderId="7" xfId="0" applyFont="1" applyBorder="1" applyAlignment="1">
      <alignment vertical="center"/>
    </xf>
    <xf numFmtId="0" fontId="9" fillId="0" borderId="117" xfId="0" applyFont="1" applyFill="1" applyBorder="1" applyAlignment="1">
      <alignment horizontal="left" vertical="top" wrapText="1"/>
    </xf>
    <xf numFmtId="165" fontId="9" fillId="0" borderId="0" xfId="75" applyNumberFormat="1" applyFont="1" applyBorder="1" applyAlignment="1">
      <alignment horizontal="center" vertical="top" wrapText="1"/>
    </xf>
    <xf numFmtId="165" fontId="9" fillId="0" borderId="2" xfId="75" applyNumberFormat="1" applyFont="1" applyBorder="1" applyAlignment="1">
      <alignment horizontal="center" vertical="top" wrapText="1"/>
    </xf>
    <xf numFmtId="165" fontId="9" fillId="0" borderId="0" xfId="75" applyNumberFormat="1" applyFont="1" applyFill="1" applyBorder="1" applyAlignment="1">
      <alignment horizontal="center" vertical="top" wrapText="1"/>
    </xf>
    <xf numFmtId="165" fontId="9" fillId="0" borderId="102" xfId="75" applyNumberFormat="1" applyFont="1" applyBorder="1" applyAlignment="1">
      <alignment horizontal="center" vertical="top" wrapText="1"/>
    </xf>
    <xf numFmtId="165" fontId="9" fillId="0" borderId="102" xfId="75" applyNumberFormat="1" applyFont="1" applyBorder="1" applyAlignment="1">
      <alignment horizontal="left" vertical="top" wrapText="1"/>
    </xf>
    <xf numFmtId="165" fontId="9" fillId="0" borderId="103" xfId="75" applyNumberFormat="1" applyFont="1" applyBorder="1" applyAlignment="1">
      <alignment horizontal="left" vertical="top" wrapText="1"/>
    </xf>
    <xf numFmtId="165" fontId="9" fillId="0" borderId="117" xfId="75" applyNumberFormat="1" applyFont="1" applyBorder="1" applyAlignment="1">
      <alignment horizontal="center" vertical="top" wrapText="1"/>
    </xf>
    <xf numFmtId="165" fontId="9" fillId="0" borderId="115" xfId="75" applyNumberFormat="1" applyFont="1" applyBorder="1" applyAlignment="1">
      <alignment horizontal="center" vertical="top" wrapText="1"/>
    </xf>
    <xf numFmtId="0" fontId="61" fillId="0" borderId="0" xfId="0" applyFont="1" applyFill="1" applyBorder="1"/>
    <xf numFmtId="0" fontId="61" fillId="0" borderId="7" xfId="0" applyFont="1" applyFill="1" applyBorder="1"/>
    <xf numFmtId="0" fontId="61" fillId="0" borderId="102" xfId="0" applyFont="1" applyFill="1" applyBorder="1"/>
    <xf numFmtId="0" fontId="10" fillId="0" borderId="103" xfId="0" applyFont="1" applyFill="1" applyBorder="1" applyAlignment="1">
      <alignment vertical="top" wrapText="1"/>
    </xf>
    <xf numFmtId="0" fontId="9" fillId="0" borderId="117" xfId="0" applyFont="1" applyFill="1" applyBorder="1"/>
    <xf numFmtId="0" fontId="15" fillId="0" borderId="102" xfId="0" applyFont="1" applyFill="1" applyBorder="1" applyAlignment="1">
      <alignment horizontal="center"/>
    </xf>
    <xf numFmtId="0" fontId="15" fillId="0" borderId="103" xfId="0" applyFont="1" applyFill="1" applyBorder="1" applyAlignment="1">
      <alignment horizontal="center"/>
    </xf>
    <xf numFmtId="0" fontId="13" fillId="17" borderId="117" xfId="0" applyFont="1" applyFill="1" applyBorder="1" applyAlignment="1">
      <alignment horizontal="center" vertical="top" wrapText="1"/>
    </xf>
    <xf numFmtId="168" fontId="0" fillId="0" borderId="0" xfId="0" applyNumberFormat="1" applyFill="1" applyBorder="1" applyAlignment="1">
      <alignment horizontal="center"/>
    </xf>
    <xf numFmtId="168" fontId="0" fillId="0" borderId="0" xfId="0" applyNumberFormat="1" applyBorder="1" applyAlignment="1">
      <alignment horizontal="center"/>
    </xf>
    <xf numFmtId="168" fontId="0" fillId="0" borderId="2" xfId="0" applyNumberFormat="1" applyBorder="1" applyAlignment="1">
      <alignment horizontal="center"/>
    </xf>
    <xf numFmtId="168" fontId="0" fillId="0" borderId="117" xfId="0" applyNumberFormat="1" applyBorder="1" applyAlignment="1">
      <alignment horizontal="center"/>
    </xf>
    <xf numFmtId="0" fontId="61" fillId="0" borderId="101" xfId="0" applyFont="1" applyFill="1" applyBorder="1" applyAlignment="1">
      <alignment horizontal="center"/>
    </xf>
    <xf numFmtId="0" fontId="15" fillId="0" borderId="0" xfId="0" applyFont="1" applyFill="1" applyBorder="1" applyAlignment="1">
      <alignment horizontal="center"/>
    </xf>
    <xf numFmtId="168" fontId="15" fillId="0" borderId="0" xfId="0" applyNumberFormat="1" applyFont="1" applyFill="1" applyBorder="1" applyAlignment="1">
      <alignment horizontal="center"/>
    </xf>
    <xf numFmtId="168" fontId="15" fillId="0" borderId="2" xfId="0" applyNumberFormat="1" applyFont="1" applyFill="1" applyBorder="1" applyAlignment="1">
      <alignment horizontal="center"/>
    </xf>
    <xf numFmtId="3" fontId="47" fillId="0" borderId="102" xfId="0" applyNumberFormat="1" applyFont="1" applyBorder="1" applyAlignment="1">
      <alignment vertical="center"/>
    </xf>
    <xf numFmtId="0" fontId="35" fillId="0" borderId="88" xfId="0" applyFont="1" applyBorder="1" applyAlignment="1"/>
    <xf numFmtId="1" fontId="15" fillId="0" borderId="3" xfId="0" applyNumberFormat="1" applyFont="1" applyBorder="1"/>
    <xf numFmtId="0" fontId="0" fillId="0" borderId="7" xfId="0" applyBorder="1"/>
    <xf numFmtId="0" fontId="9" fillId="0" borderId="2" xfId="0" applyFont="1" applyFill="1" applyBorder="1" applyAlignment="1">
      <alignment vertical="top" wrapText="1"/>
    </xf>
    <xf numFmtId="165" fontId="0" fillId="17" borderId="0" xfId="75" applyNumberFormat="1" applyFont="1" applyFill="1" applyBorder="1"/>
    <xf numFmtId="165" fontId="9" fillId="17" borderId="0" xfId="75" applyNumberFormat="1" applyFont="1" applyFill="1" applyBorder="1" applyAlignment="1">
      <alignment horizontal="center" vertical="top" wrapText="1"/>
    </xf>
    <xf numFmtId="165" fontId="9" fillId="17" borderId="0" xfId="75" applyNumberFormat="1" applyFont="1" applyFill="1" applyBorder="1" applyAlignment="1">
      <alignment horizontal="left" vertical="top" wrapText="1"/>
    </xf>
    <xf numFmtId="165" fontId="0" fillId="17" borderId="7" xfId="75" applyNumberFormat="1" applyFont="1" applyFill="1" applyBorder="1"/>
    <xf numFmtId="165" fontId="0" fillId="17" borderId="2" xfId="75" applyNumberFormat="1" applyFont="1" applyFill="1" applyBorder="1"/>
    <xf numFmtId="165" fontId="9" fillId="17" borderId="7" xfId="75" applyNumberFormat="1" applyFont="1" applyFill="1" applyBorder="1" applyAlignment="1">
      <alignment horizontal="center"/>
    </xf>
    <xf numFmtId="165" fontId="9" fillId="17" borderId="2" xfId="75" applyNumberFormat="1" applyFont="1" applyFill="1" applyBorder="1" applyAlignment="1">
      <alignment horizontal="left" vertical="top" wrapText="1"/>
    </xf>
    <xf numFmtId="165" fontId="0" fillId="17" borderId="107" xfId="75" applyNumberFormat="1" applyFont="1" applyFill="1" applyBorder="1"/>
    <xf numFmtId="165" fontId="9" fillId="17" borderId="117" xfId="75" applyNumberFormat="1" applyFont="1" applyFill="1" applyBorder="1" applyAlignment="1">
      <alignment horizontal="center" vertical="top" wrapText="1"/>
    </xf>
    <xf numFmtId="165" fontId="9" fillId="17" borderId="115" xfId="75" applyNumberFormat="1" applyFont="1" applyFill="1" applyBorder="1" applyAlignment="1">
      <alignment horizontal="center" vertical="top" wrapText="1"/>
    </xf>
    <xf numFmtId="0" fontId="9" fillId="14" borderId="7" xfId="0" applyFont="1" applyFill="1" applyBorder="1" applyAlignment="1">
      <alignment horizontal="center" vertical="top" wrapText="1"/>
    </xf>
    <xf numFmtId="0" fontId="9" fillId="14" borderId="0" xfId="0" applyFont="1" applyFill="1" applyBorder="1" applyAlignment="1">
      <alignment horizontal="center" vertical="top" wrapText="1"/>
    </xf>
    <xf numFmtId="0" fontId="9" fillId="14" borderId="2" xfId="0" applyFont="1" applyFill="1" applyBorder="1" applyAlignment="1">
      <alignment horizontal="center" vertical="top" wrapText="1"/>
    </xf>
    <xf numFmtId="0" fontId="21" fillId="0" borderId="0" xfId="0" applyFont="1" applyBorder="1" applyAlignment="1">
      <alignment horizontal="left" vertical="top" wrapText="1"/>
    </xf>
    <xf numFmtId="0" fontId="9" fillId="0" borderId="0" xfId="0" applyFont="1" applyBorder="1" applyAlignment="1">
      <alignment vertical="top" wrapText="1"/>
    </xf>
    <xf numFmtId="0" fontId="9" fillId="0" borderId="108" xfId="0" applyFont="1" applyBorder="1" applyAlignment="1">
      <alignment horizontal="center" vertical="top" wrapText="1"/>
    </xf>
    <xf numFmtId="0" fontId="9" fillId="0" borderId="108" xfId="0" applyFont="1" applyBorder="1" applyAlignment="1">
      <alignment vertical="top" wrapText="1"/>
    </xf>
    <xf numFmtId="0" fontId="9" fillId="0" borderId="7" xfId="0" applyFont="1" applyBorder="1" applyAlignment="1"/>
    <xf numFmtId="0" fontId="9" fillId="0" borderId="120" xfId="0" applyFont="1" applyBorder="1" applyAlignment="1"/>
    <xf numFmtId="9" fontId="9" fillId="0" borderId="1" xfId="0" applyNumberFormat="1" applyFont="1" applyFill="1"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9" fillId="0" borderId="120" xfId="0" applyFont="1" applyFill="1" applyBorder="1"/>
    <xf numFmtId="0" fontId="0" fillId="0" borderId="121" xfId="0" applyBorder="1" applyAlignment="1">
      <alignment horizontal="center"/>
    </xf>
    <xf numFmtId="0" fontId="0" fillId="0" borderId="121" xfId="0" applyFill="1" applyBorder="1" applyAlignment="1">
      <alignment horizontal="center"/>
    </xf>
    <xf numFmtId="0" fontId="0" fillId="0" borderId="122" xfId="0" applyBorder="1" applyAlignment="1">
      <alignment horizontal="center"/>
    </xf>
    <xf numFmtId="0" fontId="9" fillId="0" borderId="1" xfId="0" applyFont="1" applyBorder="1" applyAlignment="1">
      <alignment vertical="top" wrapText="1"/>
    </xf>
    <xf numFmtId="0" fontId="0" fillId="0" borderId="122" xfId="0" applyFill="1" applyBorder="1" applyAlignment="1">
      <alignment horizontal="center"/>
    </xf>
    <xf numFmtId="0" fontId="9" fillId="0" borderId="0" xfId="0" applyFont="1" applyBorder="1" applyAlignment="1">
      <alignment horizontal="left" vertical="top" wrapText="1"/>
    </xf>
    <xf numFmtId="0" fontId="15" fillId="4" borderId="101" xfId="0" applyFont="1" applyFill="1" applyBorder="1" applyAlignment="1">
      <alignment vertical="top" wrapText="1"/>
    </xf>
    <xf numFmtId="0" fontId="9" fillId="0" borderId="0" xfId="0" applyFont="1" applyFill="1" applyBorder="1" applyAlignment="1">
      <alignment horizontal="center" vertical="top" wrapText="1"/>
    </xf>
    <xf numFmtId="0" fontId="9" fillId="17" borderId="0" xfId="0" applyFont="1" applyFill="1" applyBorder="1" applyAlignment="1">
      <alignment horizontal="center" vertical="top" wrapText="1"/>
    </xf>
    <xf numFmtId="3" fontId="9" fillId="17" borderId="0" xfId="0" applyNumberFormat="1" applyFont="1" applyFill="1" applyBorder="1" applyAlignment="1">
      <alignment horizontal="center" vertical="top" wrapText="1"/>
    </xf>
    <xf numFmtId="3" fontId="9" fillId="0" borderId="0" xfId="0" applyNumberFormat="1" applyFont="1" applyFill="1" applyBorder="1" applyAlignment="1">
      <alignment horizontal="center" vertical="top" wrapText="1"/>
    </xf>
    <xf numFmtId="3" fontId="9" fillId="0" borderId="2" xfId="0" applyNumberFormat="1" applyFont="1" applyFill="1" applyBorder="1" applyAlignment="1">
      <alignment horizontal="center" vertical="top" wrapText="1"/>
    </xf>
    <xf numFmtId="0" fontId="15" fillId="4" borderId="89" xfId="0" applyFont="1" applyFill="1" applyBorder="1" applyAlignment="1">
      <alignment vertical="top" wrapText="1"/>
    </xf>
    <xf numFmtId="0" fontId="9" fillId="17" borderId="102" xfId="0" applyFont="1" applyFill="1" applyBorder="1" applyAlignment="1">
      <alignment horizontal="center" vertical="top" wrapText="1"/>
    </xf>
    <xf numFmtId="0" fontId="9" fillId="17" borderId="7" xfId="0" applyFont="1" applyFill="1" applyBorder="1" applyAlignment="1">
      <alignment horizontal="left" vertical="top" wrapText="1"/>
    </xf>
    <xf numFmtId="0" fontId="9" fillId="17" borderId="0" xfId="0" applyFont="1" applyFill="1" applyBorder="1" applyAlignment="1">
      <alignment horizontal="left" vertical="top" wrapText="1"/>
    </xf>
    <xf numFmtId="3" fontId="9" fillId="17" borderId="0" xfId="0" applyNumberFormat="1" applyFont="1" applyFill="1" applyBorder="1" applyAlignment="1">
      <alignment horizontal="left" vertical="top" wrapText="1"/>
    </xf>
    <xf numFmtId="9" fontId="9" fillId="17" borderId="7" xfId="0" applyNumberFormat="1" applyFont="1" applyFill="1" applyBorder="1" applyAlignment="1">
      <alignment horizontal="left" vertical="top" wrapText="1"/>
    </xf>
    <xf numFmtId="0" fontId="9" fillId="17" borderId="101" xfId="0" applyFont="1" applyFill="1" applyBorder="1" applyAlignment="1">
      <alignment horizontal="left" vertical="top" wrapText="1"/>
    </xf>
    <xf numFmtId="0" fontId="9" fillId="17" borderId="102" xfId="0" applyFont="1" applyFill="1" applyBorder="1" applyAlignment="1">
      <alignment horizontal="left" vertical="top" wrapText="1"/>
    </xf>
    <xf numFmtId="0" fontId="9" fillId="17" borderId="2" xfId="0" applyFont="1" applyFill="1" applyBorder="1" applyAlignment="1">
      <alignment horizontal="left" vertical="top" wrapText="1"/>
    </xf>
    <xf numFmtId="0" fontId="9" fillId="17" borderId="108" xfId="0" applyFont="1" applyFill="1" applyBorder="1" applyAlignment="1">
      <alignment horizontal="left" vertical="top" wrapText="1"/>
    </xf>
    <xf numFmtId="0" fontId="9" fillId="17" borderId="108" xfId="0" applyFont="1" applyFill="1" applyBorder="1" applyAlignment="1">
      <alignment horizontal="center" vertical="top" wrapText="1"/>
    </xf>
    <xf numFmtId="0" fontId="9" fillId="0" borderId="0" xfId="0" applyFont="1" applyBorder="1" applyAlignment="1">
      <alignment vertical="top" wrapText="1"/>
    </xf>
    <xf numFmtId="0" fontId="9" fillId="0" borderId="2" xfId="0" applyFont="1" applyBorder="1" applyAlignment="1">
      <alignment vertical="top" wrapText="1"/>
    </xf>
    <xf numFmtId="3" fontId="9" fillId="17" borderId="102" xfId="0" applyNumberFormat="1" applyFont="1" applyFill="1" applyBorder="1" applyAlignment="1">
      <alignment horizontal="left" vertical="top" wrapText="1"/>
    </xf>
    <xf numFmtId="0" fontId="15" fillId="16" borderId="87" xfId="0" applyFont="1" applyFill="1" applyBorder="1" applyAlignment="1">
      <alignment horizontal="left" vertical="top" wrapText="1"/>
    </xf>
    <xf numFmtId="9" fontId="9" fillId="17" borderId="0" xfId="0" applyNumberFormat="1" applyFont="1" applyFill="1" applyBorder="1" applyAlignment="1">
      <alignment horizontal="center" vertical="top"/>
    </xf>
    <xf numFmtId="9" fontId="9" fillId="17" borderId="0" xfId="0" applyNumberFormat="1" applyFont="1" applyFill="1" applyBorder="1" applyAlignment="1">
      <alignment horizontal="center" vertical="top" wrapText="1"/>
    </xf>
    <xf numFmtId="9" fontId="9" fillId="17" borderId="2" xfId="0" applyNumberFormat="1" applyFont="1" applyFill="1" applyBorder="1" applyAlignment="1">
      <alignment horizontal="center" vertical="top" wrapText="1"/>
    </xf>
    <xf numFmtId="0" fontId="15" fillId="17" borderId="7" xfId="0" applyFont="1" applyFill="1" applyBorder="1" applyAlignment="1">
      <alignment vertical="top" wrapText="1"/>
    </xf>
    <xf numFmtId="0" fontId="15" fillId="17" borderId="2" xfId="0" applyFont="1" applyFill="1" applyBorder="1" applyAlignment="1">
      <alignment vertical="top" wrapText="1"/>
    </xf>
    <xf numFmtId="9" fontId="23" fillId="17" borderId="0" xfId="0" applyNumberFormat="1" applyFont="1" applyFill="1" applyBorder="1" applyAlignment="1">
      <alignment horizontal="left" vertical="top" wrapText="1"/>
    </xf>
    <xf numFmtId="9" fontId="23" fillId="17" borderId="0" xfId="76" applyFont="1" applyFill="1" applyBorder="1" applyAlignment="1">
      <alignment horizontal="center" vertical="top" wrapText="1"/>
    </xf>
    <xf numFmtId="9" fontId="23" fillId="17" borderId="0" xfId="0" applyNumberFormat="1" applyFont="1" applyFill="1" applyBorder="1" applyAlignment="1">
      <alignment horizontal="center" vertical="top" wrapText="1"/>
    </xf>
    <xf numFmtId="0" fontId="56" fillId="0" borderId="11" xfId="0" applyFont="1" applyFill="1" applyBorder="1" applyAlignment="1">
      <alignment horizontal="center" vertical="top" wrapText="1"/>
    </xf>
    <xf numFmtId="0" fontId="56" fillId="0" borderId="10" xfId="0" applyFont="1" applyFill="1" applyBorder="1" applyAlignment="1">
      <alignment horizontal="center" vertical="top" wrapText="1"/>
    </xf>
    <xf numFmtId="0" fontId="56" fillId="0" borderId="0" xfId="0" applyFont="1" applyFill="1" applyBorder="1" applyAlignment="1">
      <alignment horizontal="center" vertical="top" wrapText="1"/>
    </xf>
    <xf numFmtId="0" fontId="56" fillId="0" borderId="2"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98" xfId="0" applyFont="1" applyFill="1" applyBorder="1" applyAlignment="1">
      <alignment horizontal="center" vertical="top" wrapText="1"/>
    </xf>
    <xf numFmtId="0" fontId="9" fillId="0" borderId="28" xfId="0" applyFont="1" applyFill="1" applyBorder="1" applyAlignment="1">
      <alignment horizontal="center" vertical="top" wrapText="1"/>
    </xf>
    <xf numFmtId="3" fontId="9" fillId="0" borderId="17" xfId="0" applyNumberFormat="1" applyFont="1" applyFill="1" applyBorder="1" applyAlignment="1">
      <alignment horizontal="center" vertical="top" wrapText="1"/>
    </xf>
    <xf numFmtId="0" fontId="9" fillId="0" borderId="87" xfId="0" applyFont="1" applyFill="1" applyBorder="1" applyAlignment="1">
      <alignment horizontal="left"/>
    </xf>
    <xf numFmtId="0" fontId="15" fillId="0" borderId="1" xfId="0" applyFont="1" applyFill="1" applyBorder="1"/>
    <xf numFmtId="0" fontId="9" fillId="0" borderId="1" xfId="0" applyFont="1" applyFill="1" applyBorder="1"/>
    <xf numFmtId="0" fontId="15" fillId="0" borderId="101" xfId="0" applyFont="1" applyFill="1" applyBorder="1"/>
    <xf numFmtId="0" fontId="9" fillId="0" borderId="110" xfId="0" applyFont="1" applyFill="1" applyBorder="1" applyAlignment="1">
      <alignment vertical="top" wrapText="1"/>
    </xf>
    <xf numFmtId="0" fontId="9" fillId="0" borderId="7" xfId="0" applyFont="1" applyFill="1" applyBorder="1" applyAlignment="1">
      <alignment vertical="top" wrapText="1"/>
    </xf>
    <xf numFmtId="0" fontId="15" fillId="0" borderId="0" xfId="0" applyFont="1" applyFill="1" applyBorder="1" applyAlignment="1">
      <alignment vertical="top" wrapText="1"/>
    </xf>
    <xf numFmtId="9" fontId="9" fillId="17" borderId="0" xfId="0" applyNumberFormat="1" applyFont="1" applyFill="1" applyBorder="1" applyAlignment="1">
      <alignment horizontal="left" vertical="top" wrapText="1"/>
    </xf>
    <xf numFmtId="0" fontId="0" fillId="14" borderId="0" xfId="0" applyFill="1"/>
    <xf numFmtId="10" fontId="0" fillId="0" borderId="0" xfId="0" applyNumberFormat="1" applyFont="1" applyBorder="1" applyAlignment="1">
      <alignment horizontal="center" vertical="top" wrapText="1"/>
    </xf>
    <xf numFmtId="0" fontId="0" fillId="0" borderId="8" xfId="0" applyNumberFormat="1" applyFont="1" applyBorder="1" applyAlignment="1">
      <alignment horizontal="center" vertical="top" wrapText="1"/>
    </xf>
    <xf numFmtId="0" fontId="0" fillId="0" borderId="0" xfId="0" applyNumberFormat="1" applyFont="1" applyBorder="1" applyAlignment="1">
      <alignment horizontal="center" vertical="top" wrapText="1"/>
    </xf>
    <xf numFmtId="0" fontId="0" fillId="0" borderId="108" xfId="0" applyNumberFormat="1" applyFont="1" applyBorder="1" applyAlignment="1">
      <alignment horizontal="center" vertical="top" wrapText="1"/>
    </xf>
    <xf numFmtId="0" fontId="0" fillId="0" borderId="0" xfId="0" applyNumberFormat="1" applyFont="1" applyFill="1" applyBorder="1" applyAlignment="1">
      <alignment horizontal="center" vertical="top" wrapText="1"/>
    </xf>
    <xf numFmtId="0" fontId="0" fillId="0" borderId="8" xfId="0" applyNumberFormat="1" applyFont="1" applyFill="1" applyBorder="1" applyAlignment="1">
      <alignment horizontal="center" vertical="top" wrapText="1"/>
    </xf>
    <xf numFmtId="0" fontId="0" fillId="0" borderId="108" xfId="0" applyNumberFormat="1" applyFont="1" applyFill="1" applyBorder="1" applyAlignment="1">
      <alignment horizontal="center" vertical="top" wrapText="1"/>
    </xf>
    <xf numFmtId="0" fontId="0" fillId="0" borderId="2" xfId="0" applyNumberFormat="1" applyFont="1" applyFill="1" applyBorder="1" applyAlignment="1">
      <alignment horizontal="center" vertical="top" wrapText="1"/>
    </xf>
    <xf numFmtId="0" fontId="0" fillId="0" borderId="9" xfId="0" applyNumberFormat="1" applyFont="1" applyFill="1" applyBorder="1" applyAlignment="1">
      <alignment horizontal="center" vertical="top" wrapText="1"/>
    </xf>
    <xf numFmtId="0" fontId="0" fillId="0" borderId="109" xfId="0" applyNumberFormat="1" applyFont="1" applyFill="1" applyBorder="1" applyAlignment="1">
      <alignment horizontal="center" vertical="top" wrapText="1"/>
    </xf>
    <xf numFmtId="0" fontId="0" fillId="15" borderId="0" xfId="0" applyFont="1" applyFill="1" applyBorder="1" applyAlignment="1">
      <alignment horizontal="center" vertical="top" wrapText="1"/>
    </xf>
    <xf numFmtId="0" fontId="0" fillId="15" borderId="108" xfId="0" applyFont="1" applyFill="1" applyBorder="1" applyAlignment="1">
      <alignment horizontal="center" vertical="top" wrapText="1"/>
    </xf>
    <xf numFmtId="0" fontId="0" fillId="15" borderId="109" xfId="0" applyFont="1" applyFill="1" applyBorder="1" applyAlignment="1">
      <alignment horizontal="center" vertical="top" wrapText="1"/>
    </xf>
    <xf numFmtId="0" fontId="0" fillId="15" borderId="8" xfId="0" applyFont="1" applyFill="1" applyBorder="1" applyAlignment="1">
      <alignment horizontal="center" vertical="top" wrapText="1"/>
    </xf>
    <xf numFmtId="0" fontId="0" fillId="15" borderId="9" xfId="0" applyFont="1" applyFill="1" applyBorder="1" applyAlignment="1">
      <alignment horizontal="center" vertical="top" wrapText="1"/>
    </xf>
    <xf numFmtId="0" fontId="56" fillId="0" borderId="103" xfId="0" applyFont="1" applyFill="1" applyBorder="1" applyAlignment="1">
      <alignment horizontal="center" vertical="top" wrapText="1"/>
    </xf>
    <xf numFmtId="3" fontId="0" fillId="0" borderId="0" xfId="0" applyNumberFormat="1" applyFont="1" applyFill="1" applyBorder="1" applyAlignment="1">
      <alignment horizontal="center" vertical="top" wrapText="1"/>
    </xf>
    <xf numFmtId="3" fontId="0" fillId="0" borderId="2" xfId="0" applyNumberFormat="1" applyFont="1" applyFill="1" applyBorder="1" applyAlignment="1">
      <alignment horizontal="center" vertical="top" wrapText="1"/>
    </xf>
    <xf numFmtId="3" fontId="0" fillId="0" borderId="121" xfId="0" applyNumberFormat="1" applyFont="1" applyFill="1" applyBorder="1" applyAlignment="1">
      <alignment horizontal="center" vertical="top" wrapText="1"/>
    </xf>
    <xf numFmtId="3" fontId="0" fillId="0" borderId="122" xfId="0" applyNumberFormat="1" applyFont="1" applyFill="1" applyBorder="1" applyAlignment="1">
      <alignment horizontal="center" vertical="top" wrapText="1"/>
    </xf>
    <xf numFmtId="9" fontId="0" fillId="0" borderId="19" xfId="0" applyNumberFormat="1" applyFont="1" applyFill="1" applyBorder="1" applyAlignment="1">
      <alignment horizontal="center" vertical="top" wrapText="1"/>
    </xf>
    <xf numFmtId="0" fontId="9" fillId="0" borderId="18" xfId="0" applyFont="1" applyFill="1" applyBorder="1" applyAlignment="1">
      <alignment horizontal="center" vertical="top"/>
    </xf>
    <xf numFmtId="0" fontId="9" fillId="0" borderId="19" xfId="0" applyFont="1" applyFill="1" applyBorder="1" applyAlignment="1">
      <alignment horizontal="center" vertical="top"/>
    </xf>
    <xf numFmtId="0" fontId="9" fillId="0" borderId="29" xfId="0" applyFont="1" applyFill="1" applyBorder="1" applyAlignment="1">
      <alignment horizontal="center" vertical="top"/>
    </xf>
    <xf numFmtId="0" fontId="0" fillId="0" borderId="18" xfId="0" applyFont="1" applyFill="1" applyBorder="1" applyAlignment="1">
      <alignment horizontal="center" vertical="top" wrapText="1"/>
    </xf>
    <xf numFmtId="0" fontId="0" fillId="0" borderId="18" xfId="0" applyFont="1" applyFill="1" applyBorder="1" applyAlignment="1">
      <alignment horizontal="center" vertical="top"/>
    </xf>
    <xf numFmtId="0" fontId="0" fillId="0" borderId="29" xfId="0" applyFont="1" applyFill="1" applyBorder="1" applyAlignment="1">
      <alignment horizontal="center" vertical="top" wrapText="1"/>
    </xf>
    <xf numFmtId="0" fontId="0" fillId="0" borderId="19" xfId="0" applyFont="1" applyFill="1" applyBorder="1" applyAlignment="1">
      <alignment horizontal="center" vertical="top" wrapText="1"/>
    </xf>
    <xf numFmtId="10" fontId="0" fillId="0" borderId="19" xfId="0" applyNumberFormat="1" applyFont="1" applyFill="1" applyBorder="1" applyAlignment="1">
      <alignment horizontal="center" vertical="top" wrapText="1"/>
    </xf>
    <xf numFmtId="0" fontId="0" fillId="0" borderId="25" xfId="0" applyFont="1" applyFill="1" applyBorder="1" applyAlignment="1">
      <alignment horizontal="center" vertical="top" wrapText="1"/>
    </xf>
    <xf numFmtId="0" fontId="0" fillId="0" borderId="21" xfId="0" applyFont="1" applyFill="1" applyBorder="1" applyAlignment="1">
      <alignment horizontal="center" vertical="top" wrapText="1"/>
    </xf>
    <xf numFmtId="0" fontId="0" fillId="0" borderId="21" xfId="0" applyFont="1" applyFill="1" applyBorder="1" applyAlignment="1">
      <alignment horizontal="center" vertical="top"/>
    </xf>
    <xf numFmtId="0" fontId="0" fillId="0" borderId="29" xfId="0" applyFont="1" applyFill="1" applyBorder="1" applyAlignment="1">
      <alignment horizontal="center" vertical="top"/>
    </xf>
    <xf numFmtId="0" fontId="0" fillId="0" borderId="91" xfId="0" applyFont="1" applyFill="1" applyBorder="1" applyAlignment="1">
      <alignment horizontal="center" vertical="top"/>
    </xf>
    <xf numFmtId="0" fontId="0" fillId="0" borderId="98" xfId="0" applyFont="1" applyBorder="1" applyAlignment="1">
      <alignment horizontal="left" vertical="top" wrapText="1"/>
    </xf>
    <xf numFmtId="0" fontId="0" fillId="0" borderId="28" xfId="0" applyFont="1" applyBorder="1" applyAlignment="1">
      <alignment horizontal="left" vertical="top" wrapText="1"/>
    </xf>
    <xf numFmtId="0" fontId="0" fillId="0" borderId="71" xfId="0" applyFont="1" applyBorder="1" applyAlignment="1">
      <alignment horizontal="left" vertical="top" wrapText="1"/>
    </xf>
    <xf numFmtId="0" fontId="0" fillId="0" borderId="28" xfId="0" applyFont="1" applyFill="1" applyBorder="1" applyAlignment="1">
      <alignment horizontal="left" vertical="top" wrapText="1"/>
    </xf>
    <xf numFmtId="0" fontId="0" fillId="0" borderId="6" xfId="0" applyFont="1" applyBorder="1" applyAlignment="1">
      <alignment horizontal="left" vertical="top" wrapText="1"/>
    </xf>
    <xf numFmtId="0" fontId="0" fillId="0" borderId="99" xfId="0" applyFont="1" applyBorder="1" applyAlignment="1">
      <alignment horizontal="center" vertical="top" wrapText="1"/>
    </xf>
    <xf numFmtId="0" fontId="0" fillId="0" borderId="18" xfId="0" applyFont="1" applyBorder="1" applyAlignment="1">
      <alignment horizontal="center" vertical="top" wrapText="1"/>
    </xf>
    <xf numFmtId="0" fontId="0" fillId="0" borderId="24" xfId="0" applyFont="1" applyBorder="1" applyAlignment="1">
      <alignment horizontal="center" vertical="top" wrapText="1"/>
    </xf>
    <xf numFmtId="0" fontId="0" fillId="0" borderId="5" xfId="0" applyFont="1" applyBorder="1" applyAlignment="1">
      <alignment horizontal="center" vertical="top" wrapText="1"/>
    </xf>
    <xf numFmtId="0" fontId="0" fillId="0" borderId="99" xfId="0" applyFont="1" applyBorder="1" applyAlignment="1">
      <alignment horizontal="center" vertical="top"/>
    </xf>
    <xf numFmtId="0" fontId="0" fillId="0" borderId="18" xfId="0" applyFont="1" applyBorder="1" applyAlignment="1">
      <alignment horizontal="center" vertical="top"/>
    </xf>
    <xf numFmtId="0" fontId="0" fillId="0" borderId="24" xfId="0" applyFont="1" applyBorder="1" applyAlignment="1">
      <alignment horizontal="center" vertical="top"/>
    </xf>
    <xf numFmtId="0" fontId="0" fillId="0" borderId="5" xfId="0" applyFont="1" applyBorder="1" applyAlignment="1">
      <alignment horizontal="center" vertical="top"/>
    </xf>
    <xf numFmtId="0" fontId="0" fillId="0" borderId="100" xfId="0" applyFont="1" applyBorder="1" applyAlignment="1">
      <alignment horizontal="center" vertical="top"/>
    </xf>
    <xf numFmtId="0" fontId="0" fillId="0" borderId="29" xfId="0" applyFont="1" applyBorder="1" applyAlignment="1">
      <alignment horizontal="center" vertical="top"/>
    </xf>
    <xf numFmtId="0" fontId="0" fillId="0" borderId="92" xfId="0" applyFont="1" applyBorder="1" applyAlignment="1">
      <alignment horizontal="center" vertical="top"/>
    </xf>
    <xf numFmtId="0" fontId="0" fillId="0" borderId="4" xfId="0" applyFont="1" applyBorder="1" applyAlignment="1">
      <alignment horizontal="center" vertical="top"/>
    </xf>
    <xf numFmtId="0" fontId="0" fillId="0" borderId="24" xfId="0" applyFont="1" applyFill="1" applyBorder="1" applyAlignment="1">
      <alignment horizontal="center" vertical="top"/>
    </xf>
    <xf numFmtId="9" fontId="9" fillId="0" borderId="7" xfId="0" applyNumberFormat="1" applyFont="1" applyFill="1" applyBorder="1" applyAlignment="1">
      <alignment horizontal="center"/>
    </xf>
    <xf numFmtId="9" fontId="9" fillId="0" borderId="1" xfId="0" applyNumberFormat="1" applyFont="1" applyFill="1" applyBorder="1" applyAlignment="1">
      <alignment horizontal="center" vertical="top" wrapText="1"/>
    </xf>
    <xf numFmtId="9" fontId="9" fillId="0" borderId="107" xfId="0" applyNumberFormat="1" applyFont="1" applyFill="1" applyBorder="1" applyAlignment="1">
      <alignment horizontal="center"/>
    </xf>
    <xf numFmtId="0" fontId="6" fillId="0" borderId="18" xfId="0" applyFont="1" applyFill="1" applyBorder="1"/>
    <xf numFmtId="165" fontId="0" fillId="0" borderId="18" xfId="75" applyNumberFormat="1" applyFont="1" applyFill="1" applyBorder="1" applyAlignment="1">
      <alignment horizontal="center"/>
    </xf>
    <xf numFmtId="10" fontId="0" fillId="0" borderId="18" xfId="76" applyNumberFormat="1" applyFont="1" applyFill="1" applyBorder="1" applyAlignment="1">
      <alignment horizontal="center"/>
    </xf>
    <xf numFmtId="0" fontId="6" fillId="0" borderId="18" xfId="0" applyFont="1" applyBorder="1"/>
    <xf numFmtId="165" fontId="0" fillId="0" borderId="18" xfId="75" applyNumberFormat="1" applyFont="1" applyBorder="1" applyAlignment="1">
      <alignment horizontal="center"/>
    </xf>
    <xf numFmtId="10" fontId="0" fillId="0" borderId="18" xfId="76" applyNumberFormat="1" applyFont="1" applyBorder="1" applyAlignment="1">
      <alignment horizontal="center"/>
    </xf>
    <xf numFmtId="165" fontId="24" fillId="0" borderId="18" xfId="75" applyNumberFormat="1" applyFont="1" applyBorder="1" applyAlignment="1">
      <alignment horizontal="center"/>
    </xf>
    <xf numFmtId="165" fontId="24" fillId="0" borderId="18" xfId="75" applyNumberFormat="1" applyFont="1" applyFill="1" applyBorder="1" applyAlignment="1">
      <alignment horizontal="center"/>
    </xf>
    <xf numFmtId="166" fontId="0" fillId="0" borderId="18" xfId="76" applyNumberFormat="1" applyFont="1" applyBorder="1"/>
    <xf numFmtId="0" fontId="65" fillId="0" borderId="18" xfId="0" applyFont="1" applyBorder="1" applyAlignment="1">
      <alignment horizontal="center" vertical="center"/>
    </xf>
    <xf numFmtId="165" fontId="9" fillId="0" borderId="0" xfId="75" applyNumberFormat="1" applyFont="1" applyFill="1" applyBorder="1" applyAlignment="1">
      <alignment vertical="top" wrapText="1"/>
    </xf>
    <xf numFmtId="165" fontId="9" fillId="0" borderId="2" xfId="75" applyNumberFormat="1" applyFont="1" applyFill="1" applyBorder="1" applyAlignment="1">
      <alignment vertical="top" wrapText="1"/>
    </xf>
    <xf numFmtId="0" fontId="54" fillId="14" borderId="101" xfId="0" applyFont="1" applyFill="1" applyBorder="1" applyAlignment="1">
      <alignment horizontal="center" vertical="top" wrapText="1"/>
    </xf>
    <xf numFmtId="0" fontId="54" fillId="14" borderId="7" xfId="0" applyFont="1" applyFill="1" applyBorder="1" applyAlignment="1">
      <alignment horizontal="center" vertical="top" wrapText="1"/>
    </xf>
    <xf numFmtId="0" fontId="54" fillId="14" borderId="0" xfId="0" applyFont="1" applyFill="1" applyBorder="1" applyAlignment="1">
      <alignment horizontal="center" vertical="top" wrapText="1"/>
    </xf>
    <xf numFmtId="0" fontId="54" fillId="14" borderId="108" xfId="0" applyFont="1" applyFill="1" applyBorder="1" applyAlignment="1">
      <alignment horizontal="center" vertical="top" wrapText="1"/>
    </xf>
    <xf numFmtId="9" fontId="9" fillId="14" borderId="107" xfId="0" applyNumberFormat="1" applyFont="1" applyFill="1" applyBorder="1" applyAlignment="1">
      <alignment horizontal="center" vertical="top" wrapText="1"/>
    </xf>
    <xf numFmtId="9" fontId="9" fillId="14" borderId="108" xfId="0" applyNumberFormat="1" applyFont="1" applyFill="1" applyBorder="1" applyAlignment="1">
      <alignment horizontal="center" vertical="top" wrapText="1"/>
    </xf>
    <xf numFmtId="0" fontId="9" fillId="14" borderId="101" xfId="0" applyFont="1" applyFill="1" applyBorder="1" applyAlignment="1">
      <alignment horizontal="left" vertical="top" wrapText="1"/>
    </xf>
    <xf numFmtId="0" fontId="9" fillId="14" borderId="102" xfId="0" applyFont="1" applyFill="1" applyBorder="1" applyAlignment="1">
      <alignment horizontal="left" vertical="top" wrapText="1"/>
    </xf>
    <xf numFmtId="3" fontId="9" fillId="14" borderId="102" xfId="0" applyNumberFormat="1" applyFont="1" applyFill="1" applyBorder="1" applyAlignment="1">
      <alignment horizontal="center" vertical="top" wrapText="1"/>
    </xf>
    <xf numFmtId="3" fontId="9" fillId="14" borderId="103" xfId="0" applyNumberFormat="1" applyFont="1" applyFill="1" applyBorder="1" applyAlignment="1">
      <alignment horizontal="center" vertical="top" wrapText="1"/>
    </xf>
    <xf numFmtId="0" fontId="9" fillId="14" borderId="7" xfId="0" applyFont="1" applyFill="1" applyBorder="1" applyAlignment="1">
      <alignment horizontal="left" vertical="top" wrapText="1"/>
    </xf>
    <xf numFmtId="0" fontId="9" fillId="14" borderId="0" xfId="0" applyFont="1" applyFill="1" applyBorder="1" applyAlignment="1">
      <alignment horizontal="left" vertical="top" wrapText="1"/>
    </xf>
    <xf numFmtId="3" fontId="9" fillId="14" borderId="0" xfId="0" applyNumberFormat="1" applyFont="1" applyFill="1" applyBorder="1" applyAlignment="1">
      <alignment horizontal="center" vertical="top" wrapText="1"/>
    </xf>
    <xf numFmtId="3" fontId="9" fillId="14" borderId="2" xfId="0" applyNumberFormat="1" applyFont="1" applyFill="1" applyBorder="1" applyAlignment="1">
      <alignment horizontal="center" vertical="top" wrapText="1"/>
    </xf>
    <xf numFmtId="0" fontId="9" fillId="14" borderId="107" xfId="0" applyFont="1" applyFill="1" applyBorder="1" applyAlignment="1">
      <alignment horizontal="left" vertical="top" wrapText="1"/>
    </xf>
    <xf numFmtId="0" fontId="9" fillId="14" borderId="108" xfId="0" applyFont="1" applyFill="1" applyBorder="1" applyAlignment="1">
      <alignment horizontal="left" vertical="top" wrapText="1"/>
    </xf>
    <xf numFmtId="3" fontId="9" fillId="14" borderId="108" xfId="0" applyNumberFormat="1" applyFont="1" applyFill="1" applyBorder="1" applyAlignment="1">
      <alignment horizontal="center" vertical="top" wrapText="1"/>
    </xf>
    <xf numFmtId="3" fontId="9" fillId="14" borderId="109" xfId="0" applyNumberFormat="1" applyFont="1" applyFill="1" applyBorder="1" applyAlignment="1">
      <alignment horizontal="center" vertical="top" wrapText="1"/>
    </xf>
    <xf numFmtId="3" fontId="11" fillId="14" borderId="101" xfId="0" applyNumberFormat="1" applyFont="1" applyFill="1" applyBorder="1" applyAlignment="1">
      <alignment horizontal="left" vertical="top" wrapText="1"/>
    </xf>
    <xf numFmtId="3" fontId="11" fillId="14" borderId="102" xfId="0" applyNumberFormat="1" applyFont="1" applyFill="1" applyBorder="1" applyAlignment="1">
      <alignment horizontal="left" vertical="top" wrapText="1"/>
    </xf>
    <xf numFmtId="3" fontId="11" fillId="14" borderId="103" xfId="0" applyNumberFormat="1" applyFont="1" applyFill="1" applyBorder="1" applyAlignment="1">
      <alignment horizontal="left" vertical="top" wrapText="1"/>
    </xf>
    <xf numFmtId="3" fontId="11" fillId="14" borderId="7" xfId="0" applyNumberFormat="1" applyFont="1" applyFill="1" applyBorder="1" applyAlignment="1">
      <alignment horizontal="left" vertical="top" wrapText="1"/>
    </xf>
    <xf numFmtId="3" fontId="11" fillId="14" borderId="0" xfId="0" applyNumberFormat="1" applyFont="1" applyFill="1" applyBorder="1" applyAlignment="1">
      <alignment horizontal="left" vertical="top" wrapText="1"/>
    </xf>
    <xf numFmtId="3" fontId="11" fillId="14" borderId="2" xfId="0" applyNumberFormat="1" applyFont="1" applyFill="1" applyBorder="1" applyAlignment="1">
      <alignment horizontal="left" vertical="top" wrapText="1"/>
    </xf>
    <xf numFmtId="3" fontId="11" fillId="14" borderId="107" xfId="0" applyNumberFormat="1" applyFont="1" applyFill="1" applyBorder="1" applyAlignment="1">
      <alignment horizontal="left" vertical="top" wrapText="1"/>
    </xf>
    <xf numFmtId="3" fontId="11" fillId="14" borderId="108" xfId="0" applyNumberFormat="1" applyFont="1" applyFill="1" applyBorder="1" applyAlignment="1">
      <alignment horizontal="left" vertical="top" wrapText="1"/>
    </xf>
    <xf numFmtId="3" fontId="11" fillId="14" borderId="109" xfId="0" applyNumberFormat="1" applyFont="1" applyFill="1" applyBorder="1" applyAlignment="1">
      <alignment horizontal="left" vertical="top" wrapText="1"/>
    </xf>
    <xf numFmtId="0" fontId="11" fillId="0" borderId="93" xfId="0" applyFont="1" applyBorder="1" applyAlignment="1">
      <alignment horizontal="center" vertical="top" wrapText="1"/>
    </xf>
    <xf numFmtId="3" fontId="9" fillId="0" borderId="128" xfId="91" applyNumberFormat="1" applyFont="1" applyBorder="1" applyAlignment="1">
      <alignment horizontal="center" vertical="top" wrapText="1"/>
    </xf>
    <xf numFmtId="3" fontId="9" fillId="0" borderId="127" xfId="91" applyNumberFormat="1" applyFont="1" applyBorder="1" applyAlignment="1">
      <alignment horizontal="center" vertical="top" wrapText="1"/>
    </xf>
    <xf numFmtId="3" fontId="9" fillId="0" borderId="126" xfId="91" applyNumberFormat="1" applyFont="1" applyBorder="1" applyAlignment="1">
      <alignment horizontal="center" vertical="top" wrapText="1"/>
    </xf>
    <xf numFmtId="3" fontId="11" fillId="0" borderId="17" xfId="98" applyNumberFormat="1" applyFont="1" applyBorder="1" applyAlignment="1">
      <alignment horizontal="center" vertical="top"/>
    </xf>
    <xf numFmtId="3" fontId="11" fillId="0" borderId="5" xfId="98" applyNumberFormat="1" applyFont="1" applyBorder="1" applyAlignment="1">
      <alignment horizontal="center" vertical="top"/>
    </xf>
    <xf numFmtId="3" fontId="11" fillId="0" borderId="6" xfId="98" applyNumberFormat="1" applyFont="1" applyBorder="1" applyAlignment="1">
      <alignment horizontal="center" vertical="top"/>
    </xf>
    <xf numFmtId="3" fontId="11" fillId="0" borderId="23" xfId="98" applyNumberFormat="1" applyFont="1" applyBorder="1" applyAlignment="1">
      <alignment horizontal="center" vertical="top"/>
    </xf>
    <xf numFmtId="3" fontId="11" fillId="0" borderId="18" xfId="98" applyNumberFormat="1" applyFont="1" applyBorder="1" applyAlignment="1">
      <alignment horizontal="center" vertical="top"/>
    </xf>
    <xf numFmtId="3" fontId="11" fillId="0" borderId="28" xfId="98" applyNumberFormat="1" applyFont="1" applyBorder="1" applyAlignment="1">
      <alignment horizontal="center" vertical="top"/>
    </xf>
    <xf numFmtId="3" fontId="11" fillId="0" borderId="6" xfId="0" applyNumberFormat="1" applyFont="1" applyBorder="1" applyAlignment="1">
      <alignment horizontal="center" vertical="top"/>
    </xf>
    <xf numFmtId="3" fontId="11" fillId="0" borderId="28" xfId="0" applyNumberFormat="1" applyFont="1" applyBorder="1" applyAlignment="1">
      <alignment horizontal="center" vertical="top"/>
    </xf>
    <xf numFmtId="0" fontId="0" fillId="0" borderId="125" xfId="0" applyBorder="1"/>
    <xf numFmtId="3" fontId="11" fillId="0" borderId="123" xfId="0" applyNumberFormat="1" applyFont="1" applyBorder="1" applyAlignment="1">
      <alignment horizontal="center" vertical="top"/>
    </xf>
    <xf numFmtId="0" fontId="0" fillId="0" borderId="124" xfId="0" applyBorder="1"/>
    <xf numFmtId="0" fontId="0" fillId="0" borderId="123" xfId="0" applyBorder="1"/>
    <xf numFmtId="3" fontId="11" fillId="0" borderId="19" xfId="98" applyNumberFormat="1" applyFont="1" applyBorder="1" applyAlignment="1">
      <alignment horizontal="center" vertical="top" wrapText="1"/>
    </xf>
    <xf numFmtId="3" fontId="11" fillId="0" borderId="18" xfId="98" applyNumberFormat="1" applyFont="1" applyBorder="1" applyAlignment="1">
      <alignment horizontal="center" vertical="top" wrapText="1"/>
    </xf>
    <xf numFmtId="3" fontId="11" fillId="0" borderId="29" xfId="98" applyNumberFormat="1" applyFont="1" applyBorder="1" applyAlignment="1">
      <alignment horizontal="center" vertical="top" wrapText="1"/>
    </xf>
    <xf numFmtId="3" fontId="11" fillId="0" borderId="40" xfId="98" applyNumberFormat="1" applyFont="1" applyBorder="1" applyAlignment="1">
      <alignment horizontal="center" vertical="top" wrapText="1"/>
    </xf>
    <xf numFmtId="3" fontId="11" fillId="0" borderId="5" xfId="98" applyNumberFormat="1" applyFont="1" applyBorder="1" applyAlignment="1">
      <alignment horizontal="center" vertical="top" wrapText="1"/>
    </xf>
    <xf numFmtId="3" fontId="11" fillId="0" borderId="4" xfId="98" applyNumberFormat="1" applyFont="1" applyBorder="1" applyAlignment="1">
      <alignment horizontal="center" vertical="top" wrapText="1"/>
    </xf>
    <xf numFmtId="0" fontId="0" fillId="0" borderId="39" xfId="0" applyBorder="1"/>
    <xf numFmtId="9" fontId="9" fillId="0" borderId="23" xfId="0" applyNumberFormat="1" applyFont="1" applyBorder="1" applyAlignment="1">
      <alignment horizontal="center" vertical="top" wrapText="1"/>
    </xf>
    <xf numFmtId="9" fontId="0" fillId="0" borderId="129" xfId="0" applyNumberFormat="1" applyBorder="1" applyAlignment="1">
      <alignment wrapText="1"/>
    </xf>
    <xf numFmtId="9" fontId="0" fillId="0" borderId="127" xfId="0" applyNumberFormat="1" applyBorder="1" applyAlignment="1">
      <alignment wrapText="1"/>
    </xf>
    <xf numFmtId="9" fontId="0" fillId="0" borderId="130" xfId="0" applyNumberFormat="1" applyBorder="1" applyAlignment="1">
      <alignment wrapText="1"/>
    </xf>
    <xf numFmtId="3" fontId="11" fillId="0" borderId="89" xfId="0" applyNumberFormat="1" applyFont="1" applyFill="1" applyBorder="1" applyAlignment="1">
      <alignment horizontal="center" vertical="top" wrapText="1"/>
    </xf>
    <xf numFmtId="3" fontId="11" fillId="0" borderId="90" xfId="0" applyNumberFormat="1" applyFont="1" applyFill="1" applyBorder="1" applyAlignment="1">
      <alignment horizontal="center" vertical="top" wrapText="1"/>
    </xf>
    <xf numFmtId="3" fontId="11" fillId="0" borderId="7" xfId="0" applyNumberFormat="1" applyFont="1" applyBorder="1" applyAlignment="1">
      <alignment horizontal="center" vertical="top" wrapText="1"/>
    </xf>
    <xf numFmtId="3" fontId="11" fillId="0" borderId="0" xfId="0" applyNumberFormat="1" applyFont="1" applyBorder="1" applyAlignment="1">
      <alignment horizontal="center" vertical="top" wrapText="1"/>
    </xf>
    <xf numFmtId="3" fontId="11" fillId="0" borderId="2" xfId="0" applyNumberFormat="1" applyFont="1" applyBorder="1" applyAlignment="1">
      <alignment horizontal="center" vertical="top" wrapText="1"/>
    </xf>
    <xf numFmtId="0" fontId="9" fillId="17" borderId="7" xfId="0" applyFont="1" applyFill="1" applyBorder="1" applyAlignment="1">
      <alignment horizontal="left" vertical="top" wrapText="1"/>
    </xf>
    <xf numFmtId="0" fontId="9" fillId="17" borderId="0" xfId="0" applyFont="1" applyFill="1" applyBorder="1" applyAlignment="1">
      <alignment horizontal="left" vertical="top" wrapText="1"/>
    </xf>
    <xf numFmtId="3" fontId="11" fillId="0" borderId="101" xfId="0" applyNumberFormat="1" applyFont="1" applyFill="1" applyBorder="1" applyAlignment="1">
      <alignment horizontal="left" vertical="top" wrapText="1"/>
    </xf>
    <xf numFmtId="3" fontId="11" fillId="0" borderId="102" xfId="0" applyNumberFormat="1" applyFont="1" applyFill="1" applyBorder="1" applyAlignment="1">
      <alignment horizontal="left" vertical="top" wrapText="1"/>
    </xf>
    <xf numFmtId="3" fontId="11" fillId="0" borderId="89" xfId="0" applyNumberFormat="1" applyFont="1" applyBorder="1" applyAlignment="1">
      <alignment horizontal="center" vertical="top" wrapText="1"/>
    </xf>
    <xf numFmtId="0" fontId="20" fillId="4" borderId="101" xfId="0" applyFont="1" applyFill="1" applyBorder="1" applyAlignment="1">
      <alignment vertical="top" wrapText="1"/>
    </xf>
    <xf numFmtId="0" fontId="20" fillId="4" borderId="102" xfId="0" applyFont="1" applyFill="1" applyBorder="1" applyAlignment="1">
      <alignment vertical="top" wrapText="1"/>
    </xf>
    <xf numFmtId="0" fontId="9" fillId="17" borderId="102" xfId="0" applyFont="1" applyFill="1" applyBorder="1" applyAlignment="1">
      <alignment horizontal="left" vertical="top" wrapText="1"/>
    </xf>
    <xf numFmtId="0" fontId="9" fillId="17" borderId="101" xfId="0" applyFont="1" applyFill="1" applyBorder="1" applyAlignment="1">
      <alignment horizontal="left" vertical="top" wrapText="1"/>
    </xf>
    <xf numFmtId="0" fontId="9" fillId="17" borderId="108" xfId="0" applyFont="1" applyFill="1" applyBorder="1" applyAlignment="1">
      <alignment horizontal="left" vertical="top" wrapText="1"/>
    </xf>
    <xf numFmtId="3" fontId="11" fillId="0" borderId="121" xfId="0" applyNumberFormat="1" applyFont="1" applyBorder="1" applyAlignment="1">
      <alignment horizontal="center" vertical="top" wrapText="1"/>
    </xf>
    <xf numFmtId="0" fontId="9" fillId="0" borderId="6" xfId="2" applyFont="1" applyBorder="1" applyAlignment="1">
      <alignment horizontal="center" vertical="top" wrapText="1"/>
    </xf>
    <xf numFmtId="0" fontId="9" fillId="0" borderId="5" xfId="2" applyFont="1" applyBorder="1" applyAlignment="1">
      <alignment horizontal="center" vertical="top" wrapText="1"/>
    </xf>
    <xf numFmtId="0" fontId="9" fillId="0" borderId="4" xfId="2" applyFont="1" applyBorder="1" applyAlignment="1">
      <alignment horizontal="center" vertical="top" wrapText="1"/>
    </xf>
    <xf numFmtId="0" fontId="9" fillId="0" borderId="123" xfId="2" applyFont="1" applyBorder="1" applyAlignment="1">
      <alignment horizontal="center" vertical="top" wrapText="1"/>
    </xf>
    <xf numFmtId="0" fontId="9" fillId="0" borderId="124" xfId="2" applyFont="1" applyBorder="1" applyAlignment="1">
      <alignment horizontal="center" vertical="top" wrapText="1"/>
    </xf>
    <xf numFmtId="0" fontId="9" fillId="0" borderId="125" xfId="2" applyFont="1" applyBorder="1" applyAlignment="1">
      <alignment horizontal="center" vertical="top" wrapText="1"/>
    </xf>
    <xf numFmtId="3" fontId="9" fillId="17" borderId="5" xfId="0" applyNumberFormat="1" applyFont="1" applyFill="1" applyBorder="1" applyAlignment="1">
      <alignment horizontal="center" vertical="top" wrapText="1"/>
    </xf>
    <xf numFmtId="0" fontId="9" fillId="0" borderId="120" xfId="0" applyFont="1" applyFill="1" applyBorder="1" applyAlignment="1">
      <alignment vertical="top" wrapText="1"/>
    </xf>
    <xf numFmtId="0" fontId="9" fillId="0" borderId="121" xfId="0" applyFont="1" applyFill="1" applyBorder="1" applyAlignment="1">
      <alignment vertical="top" wrapText="1"/>
    </xf>
    <xf numFmtId="0" fontId="20" fillId="4" borderId="44" xfId="0" applyFont="1" applyFill="1" applyBorder="1" applyAlignment="1">
      <alignment vertical="top" wrapText="1"/>
    </xf>
    <xf numFmtId="3" fontId="11" fillId="0" borderId="111" xfId="0" applyNumberFormat="1" applyFont="1" applyBorder="1" applyAlignment="1">
      <alignment horizontal="center" vertical="top" wrapText="1"/>
    </xf>
    <xf numFmtId="0" fontId="20" fillId="4" borderId="102" xfId="0" applyFont="1" applyFill="1" applyBorder="1" applyAlignment="1">
      <alignment horizontal="center" vertical="top" wrapText="1"/>
    </xf>
    <xf numFmtId="3" fontId="9" fillId="0" borderId="126" xfId="76" applyNumberFormat="1" applyFont="1" applyBorder="1" applyAlignment="1">
      <alignment horizontal="center" vertical="top" wrapText="1"/>
    </xf>
    <xf numFmtId="0" fontId="20" fillId="4" borderId="106" xfId="0" applyFont="1" applyFill="1" applyBorder="1" applyAlignment="1">
      <alignment horizontal="center" vertical="top" wrapText="1"/>
    </xf>
    <xf numFmtId="3" fontId="11" fillId="0" borderId="123" xfId="0" applyNumberFormat="1" applyFont="1" applyBorder="1" applyAlignment="1">
      <alignment horizontal="center" vertical="top" wrapText="1"/>
    </xf>
    <xf numFmtId="3" fontId="11" fillId="0" borderId="124" xfId="0" applyNumberFormat="1" applyFont="1" applyBorder="1" applyAlignment="1">
      <alignment horizontal="center" vertical="top" wrapText="1"/>
    </xf>
    <xf numFmtId="3" fontId="11" fillId="0" borderId="125" xfId="0" applyNumberFormat="1" applyFont="1" applyBorder="1" applyAlignment="1">
      <alignment horizontal="center" vertical="top" wrapText="1"/>
    </xf>
    <xf numFmtId="3" fontId="9" fillId="0" borderId="129" xfId="76" applyNumberFormat="1" applyFont="1" applyBorder="1" applyAlignment="1">
      <alignment horizontal="center" vertical="top" wrapText="1"/>
    </xf>
    <xf numFmtId="3" fontId="9" fillId="0" borderId="127" xfId="76" applyNumberFormat="1" applyFont="1" applyBorder="1" applyAlignment="1">
      <alignment horizontal="center" vertical="top" wrapText="1"/>
    </xf>
    <xf numFmtId="3" fontId="9" fillId="0" borderId="130" xfId="76" applyNumberFormat="1" applyFont="1" applyBorder="1" applyAlignment="1">
      <alignment horizontal="center" vertical="top" wrapText="1"/>
    </xf>
    <xf numFmtId="0" fontId="11" fillId="13" borderId="131" xfId="0" applyFont="1" applyFill="1" applyBorder="1" applyAlignment="1">
      <alignment horizontal="center" vertical="top"/>
    </xf>
    <xf numFmtId="0" fontId="11" fillId="0" borderId="120" xfId="0" applyFont="1" applyBorder="1" applyAlignment="1">
      <alignment horizontal="center" vertical="top" wrapText="1"/>
    </xf>
    <xf numFmtId="3" fontId="11" fillId="0" borderId="131" xfId="0" applyNumberFormat="1" applyFont="1" applyFill="1" applyBorder="1" applyAlignment="1">
      <alignment horizontal="center" vertical="top" wrapText="1"/>
    </xf>
    <xf numFmtId="3" fontId="11" fillId="0" borderId="131" xfId="0" applyNumberFormat="1" applyFont="1" applyBorder="1" applyAlignment="1">
      <alignment horizontal="center" vertical="top" wrapText="1"/>
    </xf>
    <xf numFmtId="3" fontId="11" fillId="0" borderId="120" xfId="0" applyNumberFormat="1" applyFont="1" applyFill="1" applyBorder="1" applyAlignment="1">
      <alignment horizontal="center" vertical="top" wrapText="1"/>
    </xf>
    <xf numFmtId="3" fontId="11" fillId="0" borderId="121" xfId="0" applyNumberFormat="1" applyFont="1" applyFill="1" applyBorder="1" applyAlignment="1">
      <alignment horizontal="center" vertical="top" wrapText="1"/>
    </xf>
    <xf numFmtId="3" fontId="11" fillId="0" borderId="122" xfId="0" applyNumberFormat="1" applyFont="1" applyBorder="1" applyAlignment="1">
      <alignment horizontal="center" vertical="top" wrapText="1"/>
    </xf>
    <xf numFmtId="3" fontId="9" fillId="0" borderId="70" xfId="0" applyNumberFormat="1" applyFont="1" applyFill="1" applyBorder="1" applyAlignment="1">
      <alignment horizontal="center" vertical="top" wrapText="1"/>
    </xf>
    <xf numFmtId="3" fontId="9" fillId="0" borderId="21" xfId="0" applyNumberFormat="1" applyFont="1" applyFill="1" applyBorder="1" applyAlignment="1">
      <alignment horizontal="center" vertical="top" wrapText="1"/>
    </xf>
    <xf numFmtId="3" fontId="9" fillId="0" borderId="91" xfId="0" applyNumberFormat="1" applyFont="1" applyFill="1" applyBorder="1" applyAlignment="1">
      <alignment horizontal="center" vertical="top" wrapText="1"/>
    </xf>
    <xf numFmtId="0" fontId="9" fillId="0" borderId="102" xfId="0" applyFont="1" applyBorder="1" applyAlignment="1">
      <alignment horizontal="left" vertical="top" wrapText="1"/>
    </xf>
    <xf numFmtId="0" fontId="9" fillId="0" borderId="102" xfId="0" applyFont="1" applyBorder="1" applyAlignment="1">
      <alignment vertical="top" wrapText="1"/>
    </xf>
    <xf numFmtId="0" fontId="9" fillId="0" borderId="103" xfId="0" applyFont="1" applyBorder="1" applyAlignment="1">
      <alignment vertical="top" wrapText="1"/>
    </xf>
    <xf numFmtId="0" fontId="9" fillId="0" borderId="101" xfId="0" applyFont="1" applyBorder="1" applyAlignment="1">
      <alignment horizontal="left" vertical="top" wrapText="1"/>
    </xf>
    <xf numFmtId="3" fontId="9" fillId="0" borderId="7" xfId="2" applyNumberFormat="1" applyFont="1" applyBorder="1" applyAlignment="1">
      <alignment horizontal="center" vertical="top" wrapText="1"/>
    </xf>
    <xf numFmtId="3" fontId="9" fillId="0" borderId="0" xfId="2" applyNumberFormat="1" applyFont="1" applyBorder="1" applyAlignment="1">
      <alignment horizontal="center" vertical="top" wrapText="1"/>
    </xf>
    <xf numFmtId="3" fontId="9" fillId="0" borderId="18" xfId="2" applyNumberFormat="1" applyFont="1" applyBorder="1" applyAlignment="1">
      <alignment horizontal="center" vertical="top" wrapText="1"/>
    </xf>
    <xf numFmtId="3" fontId="9" fillId="0" borderId="120" xfId="2" applyNumberFormat="1" applyFont="1" applyBorder="1" applyAlignment="1">
      <alignment horizontal="center" vertical="top" wrapText="1"/>
    </xf>
    <xf numFmtId="3" fontId="9" fillId="0" borderId="121" xfId="2" applyNumberFormat="1" applyFont="1" applyBorder="1" applyAlignment="1">
      <alignment horizontal="center" vertical="top" wrapText="1"/>
    </xf>
    <xf numFmtId="0" fontId="9" fillId="0" borderId="107"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15" xfId="0" applyFont="1" applyFill="1" applyBorder="1" applyAlignment="1">
      <alignment horizontal="center" vertical="top" wrapText="1"/>
    </xf>
    <xf numFmtId="3" fontId="9" fillId="0" borderId="0" xfId="0" applyNumberFormat="1" applyFont="1" applyFill="1" applyBorder="1" applyAlignment="1">
      <alignment horizontal="center" vertical="top" wrapText="1"/>
    </xf>
    <xf numFmtId="3" fontId="9" fillId="0" borderId="2" xfId="0" applyNumberFormat="1" applyFont="1" applyFill="1" applyBorder="1" applyAlignment="1">
      <alignment horizontal="center" vertical="top" wrapText="1"/>
    </xf>
    <xf numFmtId="3" fontId="9" fillId="0" borderId="108" xfId="0" applyNumberFormat="1" applyFont="1" applyFill="1" applyBorder="1" applyAlignment="1">
      <alignment horizontal="center" vertical="top" wrapText="1"/>
    </xf>
    <xf numFmtId="3" fontId="9" fillId="0" borderId="109" xfId="0" applyNumberFormat="1" applyFont="1" applyFill="1" applyBorder="1" applyAlignment="1">
      <alignment horizontal="center" vertical="top" wrapText="1"/>
    </xf>
    <xf numFmtId="165" fontId="9" fillId="0" borderId="7" xfId="89" applyNumberFormat="1" applyFont="1" applyFill="1" applyBorder="1" applyAlignment="1">
      <alignment horizontal="center" vertical="top" wrapText="1"/>
    </xf>
    <xf numFmtId="165" fontId="9" fillId="0" borderId="0" xfId="89" applyNumberFormat="1" applyFont="1" applyFill="1" applyBorder="1" applyAlignment="1">
      <alignment horizontal="center" vertical="top" wrapText="1"/>
    </xf>
    <xf numFmtId="165" fontId="9" fillId="0" borderId="120" xfId="0" applyNumberFormat="1" applyFont="1" applyFill="1" applyBorder="1" applyAlignment="1">
      <alignment horizontal="left" vertical="top" wrapText="1"/>
    </xf>
    <xf numFmtId="165" fontId="9" fillId="0" borderId="121" xfId="0" applyNumberFormat="1" applyFont="1" applyFill="1" applyBorder="1" applyAlignment="1">
      <alignment horizontal="left" vertical="top" wrapText="1"/>
    </xf>
    <xf numFmtId="0" fontId="23" fillId="0" borderId="101" xfId="0" applyFont="1" applyFill="1" applyBorder="1" applyAlignment="1">
      <alignment vertical="top" wrapText="1"/>
    </xf>
    <xf numFmtId="0" fontId="23" fillId="0" borderId="102" xfId="0" applyFont="1" applyFill="1" applyBorder="1" applyAlignment="1">
      <alignment vertical="top" wrapText="1"/>
    </xf>
    <xf numFmtId="0" fontId="23" fillId="0" borderId="103" xfId="0" applyFont="1" applyFill="1" applyBorder="1" applyAlignment="1">
      <alignment vertical="top" wrapText="1"/>
    </xf>
    <xf numFmtId="3" fontId="9" fillId="0" borderId="108" xfId="0" applyNumberFormat="1" applyFont="1" applyFill="1" applyBorder="1" applyAlignment="1">
      <alignment horizontal="center" vertical="top" wrapText="1"/>
    </xf>
    <xf numFmtId="3" fontId="9" fillId="0" borderId="109" xfId="0" applyNumberFormat="1" applyFont="1" applyFill="1" applyBorder="1" applyAlignment="1">
      <alignment horizontal="center" vertical="top" wrapText="1"/>
    </xf>
    <xf numFmtId="165" fontId="9" fillId="0" borderId="0" xfId="75" applyNumberFormat="1" applyFont="1" applyFill="1" applyBorder="1" applyAlignment="1">
      <alignment horizontal="right" vertical="top" wrapText="1"/>
    </xf>
    <xf numFmtId="165" fontId="9" fillId="0" borderId="28" xfId="75" applyNumberFormat="1" applyFont="1" applyFill="1" applyBorder="1" applyAlignment="1">
      <alignment horizontal="center" vertical="top" wrapText="1"/>
    </xf>
    <xf numFmtId="165" fontId="9" fillId="0" borderId="18" xfId="75" applyNumberFormat="1" applyFont="1" applyFill="1" applyBorder="1" applyAlignment="1">
      <alignment horizontal="center" vertical="top" wrapText="1"/>
    </xf>
    <xf numFmtId="165" fontId="9" fillId="0" borderId="23" xfId="75" applyNumberFormat="1" applyFont="1" applyFill="1" applyBorder="1" applyAlignment="1">
      <alignment horizontal="center" vertical="top" wrapText="1"/>
    </xf>
    <xf numFmtId="165" fontId="9" fillId="0" borderId="29" xfId="75" applyNumberFormat="1" applyFont="1" applyFill="1" applyBorder="1" applyAlignment="1">
      <alignment horizontal="center" vertical="top" wrapText="1"/>
    </xf>
    <xf numFmtId="165" fontId="9" fillId="0" borderId="6" xfId="75" applyNumberFormat="1" applyFont="1" applyFill="1" applyBorder="1" applyAlignment="1">
      <alignment horizontal="center" vertical="top" wrapText="1"/>
    </xf>
    <xf numFmtId="165" fontId="9" fillId="0" borderId="5" xfId="75" applyNumberFormat="1" applyFont="1" applyFill="1" applyBorder="1" applyAlignment="1">
      <alignment horizontal="center" vertical="top" wrapText="1"/>
    </xf>
    <xf numFmtId="165" fontId="9" fillId="0" borderId="17" xfId="75" applyNumberFormat="1" applyFont="1" applyFill="1" applyBorder="1" applyAlignment="1">
      <alignment horizontal="center" vertical="top" wrapText="1"/>
    </xf>
    <xf numFmtId="165" fontId="9" fillId="0" borderId="4" xfId="75" applyNumberFormat="1" applyFont="1" applyFill="1" applyBorder="1" applyAlignment="1">
      <alignment horizontal="center" vertical="top" wrapText="1"/>
    </xf>
    <xf numFmtId="3" fontId="0" fillId="15" borderId="28" xfId="98" applyNumberFormat="1" applyFont="1" applyFill="1" applyBorder="1" applyAlignment="1">
      <alignment horizontal="center" vertical="top" wrapText="1"/>
    </xf>
    <xf numFmtId="3" fontId="7" fillId="15" borderId="28" xfId="98" applyNumberFormat="1" applyFont="1" applyFill="1" applyBorder="1" applyAlignment="1">
      <alignment horizontal="center" vertical="top" wrapText="1"/>
    </xf>
    <xf numFmtId="3" fontId="7" fillId="0" borderId="6" xfId="98" applyNumberFormat="1" applyFont="1" applyBorder="1" applyAlignment="1">
      <alignment horizontal="center" vertical="top" wrapText="1"/>
    </xf>
    <xf numFmtId="3" fontId="7" fillId="15" borderId="18" xfId="98" applyNumberFormat="1" applyFont="1" applyFill="1" applyBorder="1" applyAlignment="1">
      <alignment horizontal="center" vertical="top" wrapText="1"/>
    </xf>
    <xf numFmtId="3" fontId="7" fillId="0" borderId="5" xfId="98" applyNumberFormat="1" applyFont="1" applyBorder="1" applyAlignment="1">
      <alignment horizontal="center" vertical="top" wrapText="1"/>
    </xf>
    <xf numFmtId="3" fontId="7" fillId="15" borderId="29" xfId="98" applyNumberFormat="1" applyFont="1" applyFill="1" applyBorder="1" applyAlignment="1">
      <alignment horizontal="center" vertical="top" wrapText="1"/>
    </xf>
    <xf numFmtId="3" fontId="7" fillId="0" borderId="4" xfId="98" applyNumberFormat="1" applyFont="1" applyBorder="1" applyAlignment="1">
      <alignment horizontal="center" vertical="top" wrapText="1"/>
    </xf>
    <xf numFmtId="165" fontId="9" fillId="15" borderId="0" xfId="75" applyNumberFormat="1" applyFont="1" applyFill="1" applyBorder="1" applyAlignment="1">
      <alignment horizontal="center" vertical="top" wrapText="1"/>
    </xf>
    <xf numFmtId="165" fontId="9" fillId="15" borderId="117" xfId="75" applyNumberFormat="1" applyFont="1" applyFill="1" applyBorder="1" applyAlignment="1">
      <alignment horizontal="center" vertical="top" wrapText="1"/>
    </xf>
    <xf numFmtId="0" fontId="16" fillId="0" borderId="0" xfId="2"/>
    <xf numFmtId="0" fontId="9" fillId="7" borderId="0" xfId="2" applyFont="1" applyFill="1" applyBorder="1" applyAlignment="1">
      <alignment vertical="top" wrapText="1"/>
    </xf>
    <xf numFmtId="0" fontId="16" fillId="37" borderId="0" xfId="2" applyFill="1"/>
    <xf numFmtId="0" fontId="16" fillId="0" borderId="0" xfId="2" applyFill="1"/>
    <xf numFmtId="0" fontId="16" fillId="0" borderId="0" xfId="2" applyFill="1" applyBorder="1"/>
    <xf numFmtId="0" fontId="16" fillId="17" borderId="0" xfId="2" applyFill="1"/>
    <xf numFmtId="0" fontId="16" fillId="28" borderId="0" xfId="2" applyFill="1"/>
    <xf numFmtId="0" fontId="16" fillId="28" borderId="18" xfId="2" applyFill="1" applyBorder="1"/>
    <xf numFmtId="0" fontId="16" fillId="37" borderId="18" xfId="2" applyFill="1" applyBorder="1"/>
    <xf numFmtId="9" fontId="9" fillId="0" borderId="36" xfId="0" applyNumberFormat="1" applyFont="1" applyFill="1" applyBorder="1" applyAlignment="1">
      <alignment horizontal="center" vertical="top" wrapText="1"/>
    </xf>
    <xf numFmtId="0" fontId="15" fillId="9" borderId="122" xfId="2" applyFont="1" applyFill="1" applyBorder="1" applyAlignment="1">
      <alignment vertical="top" wrapText="1"/>
    </xf>
    <xf numFmtId="0" fontId="9" fillId="7" borderId="110" xfId="2" applyFont="1" applyFill="1" applyBorder="1" applyAlignment="1">
      <alignment vertical="top" wrapText="1"/>
    </xf>
    <xf numFmtId="0" fontId="16" fillId="0" borderId="18" xfId="2" applyBorder="1"/>
    <xf numFmtId="0" fontId="16" fillId="0" borderId="18" xfId="2" applyBorder="1" applyAlignment="1">
      <alignment wrapText="1"/>
    </xf>
    <xf numFmtId="0" fontId="16" fillId="28" borderId="18" xfId="2" applyFill="1" applyBorder="1" applyAlignment="1">
      <alignment wrapText="1"/>
    </xf>
    <xf numFmtId="0" fontId="16" fillId="0" borderId="18" xfId="2" applyBorder="1" applyAlignment="1">
      <alignment horizontal="right"/>
    </xf>
    <xf numFmtId="165" fontId="0" fillId="0" borderId="18" xfId="93" applyNumberFormat="1" applyFont="1" applyBorder="1"/>
    <xf numFmtId="166" fontId="0" fillId="0" borderId="18" xfId="91" applyNumberFormat="1" applyFont="1" applyBorder="1"/>
    <xf numFmtId="165" fontId="0" fillId="28" borderId="18" xfId="93" applyNumberFormat="1" applyFont="1" applyFill="1" applyBorder="1"/>
    <xf numFmtId="166" fontId="0" fillId="28" borderId="18" xfId="91" applyNumberFormat="1" applyFont="1" applyFill="1" applyBorder="1"/>
    <xf numFmtId="166" fontId="0" fillId="0" borderId="18" xfId="91" applyNumberFormat="1" applyFont="1" applyFill="1" applyBorder="1"/>
    <xf numFmtId="0" fontId="16" fillId="16" borderId="18" xfId="2" applyFill="1" applyBorder="1" applyAlignment="1">
      <alignment horizontal="right"/>
    </xf>
    <xf numFmtId="165" fontId="0" fillId="16" borderId="18" xfId="93" applyNumberFormat="1" applyFont="1" applyFill="1" applyBorder="1"/>
    <xf numFmtId="166" fontId="0" fillId="16" borderId="18" xfId="91" applyNumberFormat="1" applyFont="1" applyFill="1" applyBorder="1"/>
    <xf numFmtId="0" fontId="16" fillId="16" borderId="0" xfId="2" applyFill="1"/>
    <xf numFmtId="165" fontId="16" fillId="16" borderId="0" xfId="2" applyNumberFormat="1" applyFill="1"/>
    <xf numFmtId="0" fontId="16" fillId="16" borderId="18" xfId="2" applyFill="1" applyBorder="1"/>
    <xf numFmtId="0" fontId="16" fillId="0" borderId="0" xfId="2" applyFill="1" applyBorder="1" applyAlignment="1">
      <alignment horizontal="right"/>
    </xf>
    <xf numFmtId="3" fontId="11" fillId="0" borderId="18" xfId="98" applyNumberFormat="1" applyFont="1" applyFill="1" applyBorder="1" applyAlignment="1">
      <alignment horizontal="center" vertical="top" wrapText="1"/>
    </xf>
    <xf numFmtId="3" fontId="9" fillId="0" borderId="96" xfId="76" applyNumberFormat="1" applyFont="1" applyFill="1" applyBorder="1" applyAlignment="1">
      <alignment horizontal="center" vertical="top" wrapText="1"/>
    </xf>
    <xf numFmtId="3" fontId="9" fillId="0" borderId="6" xfId="0" applyNumberFormat="1" applyFont="1" applyFill="1" applyBorder="1" applyAlignment="1">
      <alignment horizontal="center" vertical="top" wrapText="1"/>
    </xf>
    <xf numFmtId="3" fontId="9" fillId="0" borderId="25" xfId="0" applyNumberFormat="1" applyFont="1" applyFill="1" applyBorder="1" applyAlignment="1">
      <alignment horizontal="center" vertical="top" wrapText="1"/>
    </xf>
    <xf numFmtId="0" fontId="67" fillId="34" borderId="90" xfId="2" applyFont="1" applyFill="1" applyBorder="1" applyAlignment="1">
      <alignment wrapText="1"/>
    </xf>
    <xf numFmtId="0" fontId="16" fillId="34" borderId="132" xfId="2" applyFont="1" applyFill="1" applyBorder="1" applyAlignment="1">
      <alignment horizontal="center" wrapText="1"/>
    </xf>
    <xf numFmtId="0" fontId="43" fillId="34" borderId="103" xfId="2" applyFont="1" applyFill="1" applyBorder="1" applyAlignment="1">
      <alignment vertical="center" wrapText="1"/>
    </xf>
    <xf numFmtId="0" fontId="43" fillId="34" borderId="104" xfId="2" applyFont="1" applyFill="1" applyBorder="1" applyAlignment="1">
      <alignment horizontal="center" vertical="center" wrapText="1"/>
    </xf>
    <xf numFmtId="0" fontId="16" fillId="34" borderId="103" xfId="2" applyFill="1" applyBorder="1"/>
    <xf numFmtId="0" fontId="41" fillId="34" borderId="132" xfId="2" applyFont="1" applyFill="1" applyBorder="1" applyAlignment="1">
      <alignment horizontal="center"/>
    </xf>
    <xf numFmtId="0" fontId="25" fillId="16" borderId="132" xfId="2" applyFont="1" applyFill="1" applyBorder="1"/>
    <xf numFmtId="0" fontId="25" fillId="16" borderId="103" xfId="2" applyFont="1" applyFill="1" applyBorder="1" applyAlignment="1">
      <alignment horizontal="center" vertical="center" wrapText="1"/>
    </xf>
    <xf numFmtId="0" fontId="16" fillId="16" borderId="130" xfId="2" applyFill="1" applyBorder="1"/>
    <xf numFmtId="0" fontId="41" fillId="15" borderId="103" xfId="2" applyFont="1" applyFill="1" applyBorder="1" applyAlignment="1">
      <alignment horizontal="center"/>
    </xf>
    <xf numFmtId="0" fontId="68" fillId="38" borderId="90" xfId="2" applyFont="1" applyFill="1" applyBorder="1" applyAlignment="1">
      <alignment vertical="center"/>
    </xf>
    <xf numFmtId="3" fontId="43" fillId="38" borderId="132" xfId="2" applyNumberFormat="1" applyFont="1" applyFill="1" applyBorder="1" applyAlignment="1">
      <alignment horizontal="center" vertical="center" wrapText="1"/>
    </xf>
    <xf numFmtId="3" fontId="43" fillId="38" borderId="127" xfId="2" applyNumberFormat="1" applyFont="1" applyFill="1" applyBorder="1" applyAlignment="1">
      <alignment horizontal="center" vertical="center" wrapText="1"/>
    </xf>
    <xf numFmtId="1" fontId="43" fillId="38" borderId="127" xfId="2" applyNumberFormat="1" applyFont="1" applyFill="1" applyBorder="1" applyAlignment="1">
      <alignment horizontal="center" vertical="center" wrapText="1"/>
    </xf>
    <xf numFmtId="0" fontId="16" fillId="38" borderId="130" xfId="2" applyFill="1" applyBorder="1"/>
    <xf numFmtId="0" fontId="41" fillId="38" borderId="103" xfId="2" applyFont="1" applyFill="1" applyBorder="1" applyAlignment="1">
      <alignment horizontal="center"/>
    </xf>
    <xf numFmtId="0" fontId="68" fillId="38" borderId="90" xfId="2" applyFont="1" applyFill="1" applyBorder="1" applyAlignment="1">
      <alignment vertical="center" wrapText="1"/>
    </xf>
    <xf numFmtId="1" fontId="43" fillId="38" borderId="132" xfId="2" applyNumberFormat="1" applyFont="1" applyFill="1" applyBorder="1" applyAlignment="1">
      <alignment horizontal="center" vertical="center" wrapText="1"/>
    </xf>
    <xf numFmtId="0" fontId="16" fillId="38" borderId="90" xfId="2" applyFill="1" applyBorder="1"/>
    <xf numFmtId="0" fontId="44" fillId="38" borderId="90" xfId="2" applyFont="1" applyFill="1" applyBorder="1" applyAlignment="1">
      <alignment vertical="center"/>
    </xf>
    <xf numFmtId="0" fontId="16" fillId="38" borderId="132" xfId="2" applyFill="1" applyBorder="1"/>
    <xf numFmtId="0" fontId="59" fillId="38" borderId="24" xfId="190" applyFont="1" applyFill="1" applyBorder="1" applyAlignment="1">
      <alignment horizontal="left" vertical="center" wrapText="1"/>
    </xf>
    <xf numFmtId="0" fontId="44" fillId="38" borderId="0" xfId="2" applyFont="1" applyFill="1" applyAlignment="1">
      <alignment horizontal="left" vertical="center" wrapText="1"/>
    </xf>
    <xf numFmtId="0" fontId="44" fillId="38" borderId="103" xfId="2" applyFont="1" applyFill="1" applyBorder="1" applyAlignment="1">
      <alignment horizontal="left" wrapText="1"/>
    </xf>
    <xf numFmtId="0" fontId="69" fillId="16" borderId="18" xfId="190" applyFont="1" applyFill="1" applyBorder="1" applyAlignment="1">
      <alignment wrapText="1"/>
    </xf>
    <xf numFmtId="0" fontId="44" fillId="16" borderId="90" xfId="2" applyFont="1" applyFill="1" applyBorder="1" applyAlignment="1">
      <alignment vertical="center"/>
    </xf>
    <xf numFmtId="3" fontId="43" fillId="16" borderId="132" xfId="2" applyNumberFormat="1" applyFont="1" applyFill="1" applyBorder="1" applyAlignment="1">
      <alignment horizontal="center" vertical="center" wrapText="1"/>
    </xf>
    <xf numFmtId="3" fontId="43" fillId="16" borderId="131" xfId="2" applyNumberFormat="1" applyFont="1" applyFill="1" applyBorder="1" applyAlignment="1">
      <alignment horizontal="center" vertical="center" wrapText="1"/>
    </xf>
    <xf numFmtId="3" fontId="43" fillId="16" borderId="127" xfId="2" applyNumberFormat="1" applyFont="1" applyFill="1" applyBorder="1" applyAlignment="1">
      <alignment horizontal="center" vertical="center" wrapText="1"/>
    </xf>
    <xf numFmtId="1" fontId="43" fillId="16" borderId="127" xfId="2" applyNumberFormat="1" applyFont="1" applyFill="1" applyBorder="1" applyAlignment="1">
      <alignment horizontal="center" vertical="center" wrapText="1"/>
    </xf>
    <xf numFmtId="0" fontId="41" fillId="16" borderId="103" xfId="2" applyFont="1" applyFill="1" applyBorder="1" applyAlignment="1">
      <alignment horizontal="center"/>
    </xf>
    <xf numFmtId="0" fontId="25" fillId="19" borderId="90" xfId="2" applyFont="1" applyFill="1" applyBorder="1" applyAlignment="1">
      <alignment horizontal="center" vertical="center" wrapText="1"/>
    </xf>
    <xf numFmtId="0" fontId="16" fillId="19" borderId="132" xfId="2" applyFill="1" applyBorder="1"/>
    <xf numFmtId="0" fontId="16" fillId="19" borderId="131" xfId="2" applyFill="1" applyBorder="1"/>
    <xf numFmtId="0" fontId="43" fillId="19" borderId="127" xfId="2" applyFont="1" applyFill="1" applyBorder="1" applyAlignment="1">
      <alignment horizontal="center" vertical="center" wrapText="1"/>
    </xf>
    <xf numFmtId="0" fontId="16" fillId="19" borderId="130" xfId="2" applyFill="1" applyBorder="1" applyAlignment="1">
      <alignment horizontal="center"/>
    </xf>
    <xf numFmtId="0" fontId="44" fillId="19" borderId="134" xfId="2" applyFont="1" applyFill="1" applyBorder="1" applyAlignment="1">
      <alignment vertical="center" wrapText="1"/>
    </xf>
    <xf numFmtId="3" fontId="44" fillId="19" borderId="133" xfId="2" applyNumberFormat="1" applyFont="1" applyFill="1" applyBorder="1" applyAlignment="1">
      <alignment horizontal="center" vertical="center" wrapText="1"/>
    </xf>
    <xf numFmtId="0" fontId="44" fillId="19" borderId="133" xfId="2" applyFont="1" applyFill="1" applyBorder="1" applyAlignment="1">
      <alignment horizontal="center" vertical="center" wrapText="1"/>
    </xf>
    <xf numFmtId="0" fontId="16" fillId="19" borderId="134" xfId="2" applyFill="1" applyBorder="1" applyAlignment="1">
      <alignment horizontal="center"/>
    </xf>
    <xf numFmtId="0" fontId="44" fillId="19" borderId="90" xfId="2" applyFont="1" applyFill="1" applyBorder="1" applyAlignment="1">
      <alignment vertical="center" wrapText="1"/>
    </xf>
    <xf numFmtId="3" fontId="44" fillId="19" borderId="132" xfId="2" applyNumberFormat="1" applyFont="1" applyFill="1" applyBorder="1" applyAlignment="1">
      <alignment horizontal="center" vertical="center" wrapText="1"/>
    </xf>
    <xf numFmtId="0" fontId="44" fillId="19" borderId="132" xfId="2" applyFont="1" applyFill="1" applyBorder="1" applyAlignment="1">
      <alignment horizontal="center" vertical="center" wrapText="1"/>
    </xf>
    <xf numFmtId="0" fontId="16" fillId="19" borderId="90" xfId="2" applyFill="1" applyBorder="1" applyAlignment="1">
      <alignment horizontal="center"/>
    </xf>
    <xf numFmtId="0" fontId="25" fillId="17" borderId="90" xfId="2" applyFont="1" applyFill="1" applyBorder="1" applyAlignment="1">
      <alignment horizontal="center" vertical="center" wrapText="1"/>
    </xf>
    <xf numFmtId="0" fontId="16" fillId="17" borderId="132" xfId="2" applyFill="1" applyBorder="1" applyAlignment="1">
      <alignment horizontal="center" vertical="center"/>
    </xf>
    <xf numFmtId="0" fontId="16" fillId="17" borderId="132" xfId="2" applyFill="1" applyBorder="1"/>
    <xf numFmtId="0" fontId="43" fillId="17" borderId="1" xfId="2" applyFont="1" applyFill="1" applyBorder="1" applyAlignment="1">
      <alignment horizontal="center" vertical="center" wrapText="1"/>
    </xf>
    <xf numFmtId="0" fontId="16" fillId="17" borderId="90" xfId="2" applyFill="1" applyBorder="1" applyAlignment="1">
      <alignment horizontal="center"/>
    </xf>
    <xf numFmtId="0" fontId="44" fillId="17" borderId="90" xfId="2" applyFont="1" applyFill="1" applyBorder="1" applyAlignment="1">
      <alignment vertical="center" wrapText="1"/>
    </xf>
    <xf numFmtId="0" fontId="44" fillId="17" borderId="132" xfId="2" applyFont="1" applyFill="1" applyBorder="1" applyAlignment="1">
      <alignment horizontal="center" wrapText="1"/>
    </xf>
    <xf numFmtId="3" fontId="16" fillId="17" borderId="132" xfId="2" applyNumberFormat="1" applyFill="1" applyBorder="1" applyAlignment="1">
      <alignment horizontal="center"/>
    </xf>
    <xf numFmtId="1" fontId="16" fillId="17" borderId="132" xfId="2" applyNumberFormat="1" applyFill="1" applyBorder="1" applyAlignment="1">
      <alignment horizontal="center"/>
    </xf>
    <xf numFmtId="0" fontId="16" fillId="17" borderId="90" xfId="2" applyFill="1" applyBorder="1"/>
    <xf numFmtId="0" fontId="16" fillId="19" borderId="132" xfId="2" applyFill="1" applyBorder="1" applyAlignment="1">
      <alignment horizontal="center" vertical="center"/>
    </xf>
    <xf numFmtId="0" fontId="16" fillId="19" borderId="1" xfId="2" applyFill="1" applyBorder="1"/>
    <xf numFmtId="0" fontId="16" fillId="19" borderId="2" xfId="2" applyFill="1" applyBorder="1" applyAlignment="1">
      <alignment horizontal="center"/>
    </xf>
    <xf numFmtId="3" fontId="16" fillId="19" borderId="132" xfId="2" applyNumberFormat="1" applyFill="1" applyBorder="1" applyAlignment="1">
      <alignment horizontal="center" vertical="center"/>
    </xf>
    <xf numFmtId="1" fontId="16" fillId="19" borderId="132" xfId="2" applyNumberFormat="1" applyFill="1" applyBorder="1" applyAlignment="1">
      <alignment horizontal="center" vertical="center"/>
    </xf>
    <xf numFmtId="0" fontId="16" fillId="17" borderId="1" xfId="2" applyFill="1" applyBorder="1"/>
    <xf numFmtId="0" fontId="16" fillId="17" borderId="2" xfId="2" applyFill="1" applyBorder="1" applyAlignment="1">
      <alignment horizontal="center"/>
    </xf>
    <xf numFmtId="3" fontId="16" fillId="17" borderId="132" xfId="2" applyNumberFormat="1" applyFill="1" applyBorder="1" applyAlignment="1">
      <alignment horizontal="center" vertical="center"/>
    </xf>
    <xf numFmtId="3" fontId="16" fillId="19" borderId="90" xfId="2" applyNumberFormat="1" applyFill="1" applyBorder="1" applyAlignment="1">
      <alignment horizontal="center"/>
    </xf>
    <xf numFmtId="3" fontId="16" fillId="19" borderId="132" xfId="2" applyNumberFormat="1" applyFill="1" applyBorder="1" applyAlignment="1">
      <alignment horizontal="center"/>
    </xf>
    <xf numFmtId="0" fontId="16" fillId="17" borderId="2" xfId="2" applyFill="1" applyBorder="1"/>
    <xf numFmtId="0" fontId="16" fillId="17" borderId="132" xfId="2" applyFill="1" applyBorder="1" applyAlignment="1">
      <alignment horizontal="center"/>
    </xf>
    <xf numFmtId="3" fontId="16" fillId="17" borderId="90" xfId="2" applyNumberFormat="1" applyFill="1" applyBorder="1" applyAlignment="1">
      <alignment horizontal="center"/>
    </xf>
    <xf numFmtId="0" fontId="43" fillId="15" borderId="0" xfId="2" applyFont="1" applyFill="1" applyBorder="1" applyAlignment="1">
      <alignment vertical="center" wrapText="1"/>
    </xf>
    <xf numFmtId="0" fontId="37" fillId="0" borderId="0" xfId="2" applyFont="1"/>
    <xf numFmtId="0" fontId="9" fillId="0" borderId="0" xfId="0" applyFont="1" applyFill="1" applyAlignment="1">
      <alignment wrapText="1"/>
    </xf>
    <xf numFmtId="9" fontId="9" fillId="0" borderId="102" xfId="0" applyNumberFormat="1" applyFont="1" applyFill="1" applyBorder="1" applyAlignment="1">
      <alignment horizontal="left" vertical="top" wrapText="1"/>
    </xf>
    <xf numFmtId="9" fontId="9" fillId="0" borderId="102" xfId="0" applyNumberFormat="1" applyFont="1" applyFill="1" applyBorder="1" applyAlignment="1">
      <alignment horizontal="center" vertical="top" wrapText="1"/>
    </xf>
    <xf numFmtId="9" fontId="9" fillId="0" borderId="103" xfId="0" applyNumberFormat="1" applyFont="1" applyFill="1" applyBorder="1" applyAlignment="1">
      <alignment horizontal="center" vertical="top" wrapText="1"/>
    </xf>
    <xf numFmtId="9" fontId="9" fillId="0" borderId="101" xfId="0" applyNumberFormat="1" applyFont="1" applyFill="1" applyBorder="1" applyAlignment="1">
      <alignment horizontal="left" vertical="top" wrapText="1"/>
    </xf>
    <xf numFmtId="3" fontId="11" fillId="0" borderId="101" xfId="0" applyNumberFormat="1" applyFont="1" applyFill="1" applyBorder="1" applyAlignment="1">
      <alignment horizontal="center" vertical="top" wrapText="1"/>
    </xf>
    <xf numFmtId="3" fontId="11" fillId="0" borderId="102" xfId="0" applyNumberFormat="1" applyFont="1" applyFill="1" applyBorder="1" applyAlignment="1">
      <alignment horizontal="center" vertical="top" wrapText="1"/>
    </xf>
    <xf numFmtId="0" fontId="9" fillId="0" borderId="134" xfId="0" applyFont="1" applyFill="1" applyBorder="1" applyAlignment="1">
      <alignment vertical="top" wrapText="1"/>
    </xf>
    <xf numFmtId="9" fontId="9" fillId="0" borderId="120" xfId="0" applyNumberFormat="1" applyFont="1" applyFill="1" applyBorder="1" applyAlignment="1">
      <alignment vertical="top" wrapText="1"/>
    </xf>
    <xf numFmtId="9" fontId="9" fillId="0" borderId="7" xfId="0" applyNumberFormat="1" applyFont="1" applyFill="1" applyBorder="1" applyAlignment="1">
      <alignment horizontal="center" vertical="top" wrapText="1"/>
    </xf>
    <xf numFmtId="9" fontId="9" fillId="0" borderId="120" xfId="0" applyNumberFormat="1" applyFont="1" applyFill="1" applyBorder="1" applyAlignment="1">
      <alignment horizontal="center" vertical="top" wrapText="1"/>
    </xf>
    <xf numFmtId="9" fontId="9" fillId="0" borderId="121" xfId="0" applyNumberFormat="1" applyFont="1" applyFill="1" applyBorder="1" applyAlignment="1">
      <alignment horizontal="center" vertical="top" wrapText="1"/>
    </xf>
    <xf numFmtId="9" fontId="9" fillId="0" borderId="134" xfId="0" applyNumberFormat="1" applyFont="1" applyFill="1" applyBorder="1" applyAlignment="1">
      <alignment horizontal="center" vertical="top" wrapText="1"/>
    </xf>
    <xf numFmtId="9" fontId="70" fillId="0" borderId="0" xfId="0" applyNumberFormat="1" applyFont="1" applyFill="1" applyBorder="1" applyAlignment="1">
      <alignment horizontal="center" vertical="top" wrapText="1"/>
    </xf>
    <xf numFmtId="165" fontId="0" fillId="16" borderId="29" xfId="75" applyNumberFormat="1" applyFont="1" applyFill="1" applyBorder="1"/>
    <xf numFmtId="9" fontId="0" fillId="16" borderId="29" xfId="0" applyNumberFormat="1" applyFill="1" applyBorder="1"/>
    <xf numFmtId="3" fontId="9" fillId="0" borderId="33" xfId="0" applyNumberFormat="1" applyFont="1" applyBorder="1" applyAlignment="1">
      <alignment horizontal="center" vertical="top" wrapText="1"/>
    </xf>
    <xf numFmtId="3" fontId="0" fillId="0" borderId="99" xfId="0" applyNumberFormat="1" applyFont="1" applyFill="1" applyBorder="1" applyAlignment="1">
      <alignment horizontal="center" vertical="top" wrapText="1"/>
    </xf>
    <xf numFmtId="3" fontId="0" fillId="0" borderId="18" xfId="0" applyNumberFormat="1" applyFont="1" applyFill="1" applyBorder="1" applyAlignment="1">
      <alignment horizontal="center" vertical="top" wrapText="1"/>
    </xf>
    <xf numFmtId="3" fontId="7" fillId="0" borderId="18" xfId="98" applyNumberFormat="1" applyFont="1" applyFill="1" applyBorder="1" applyAlignment="1">
      <alignment horizontal="center" vertical="top" wrapText="1"/>
    </xf>
    <xf numFmtId="165" fontId="0" fillId="16" borderId="23" xfId="75" applyNumberFormat="1" applyFont="1" applyFill="1" applyBorder="1"/>
    <xf numFmtId="165" fontId="0" fillId="0" borderId="62" xfId="0" applyNumberFormat="1" applyFill="1" applyBorder="1"/>
    <xf numFmtId="9" fontId="9" fillId="0" borderId="18" xfId="76" applyFont="1" applyFill="1" applyBorder="1" applyAlignment="1">
      <alignment horizontal="center" vertical="top" wrapText="1"/>
    </xf>
    <xf numFmtId="3" fontId="11" fillId="0" borderId="18" xfId="98" applyNumberFormat="1" applyFont="1" applyFill="1" applyBorder="1" applyAlignment="1">
      <alignment horizontal="center" vertical="top"/>
    </xf>
    <xf numFmtId="3" fontId="11" fillId="0" borderId="23" xfId="98" applyNumberFormat="1" applyFont="1" applyFill="1" applyBorder="1" applyAlignment="1">
      <alignment horizontal="center" vertical="top"/>
    </xf>
    <xf numFmtId="9" fontId="9" fillId="0" borderId="21" xfId="76" applyFont="1" applyFill="1" applyBorder="1" applyAlignment="1">
      <alignment horizontal="center" vertical="top" wrapText="1"/>
    </xf>
    <xf numFmtId="9" fontId="9" fillId="0" borderId="44" xfId="76" applyFont="1" applyFill="1" applyBorder="1" applyAlignment="1">
      <alignment horizontal="center" vertical="top" wrapText="1"/>
    </xf>
    <xf numFmtId="9" fontId="9" fillId="0" borderId="70" xfId="76" applyFont="1" applyFill="1" applyBorder="1" applyAlignment="1">
      <alignment horizontal="center" vertical="top" wrapText="1"/>
    </xf>
    <xf numFmtId="3" fontId="11" fillId="0" borderId="124" xfId="0" applyNumberFormat="1" applyFont="1" applyFill="1" applyBorder="1" applyAlignment="1">
      <alignment horizontal="center" vertical="top"/>
    </xf>
    <xf numFmtId="3" fontId="11" fillId="0" borderId="125" xfId="0" applyNumberFormat="1" applyFont="1" applyFill="1" applyBorder="1" applyAlignment="1">
      <alignment horizontal="center" vertical="top"/>
    </xf>
    <xf numFmtId="3" fontId="11" fillId="0" borderId="18" xfId="0" applyNumberFormat="1" applyFont="1" applyFill="1" applyBorder="1" applyAlignment="1">
      <alignment horizontal="center" vertical="top"/>
    </xf>
    <xf numFmtId="3" fontId="11" fillId="0" borderId="29" xfId="0" applyNumberFormat="1" applyFont="1" applyFill="1" applyBorder="1" applyAlignment="1">
      <alignment horizontal="center" vertical="top"/>
    </xf>
    <xf numFmtId="3" fontId="11" fillId="0" borderId="5" xfId="0" applyNumberFormat="1" applyFont="1" applyFill="1" applyBorder="1" applyAlignment="1">
      <alignment horizontal="center" vertical="top"/>
    </xf>
    <xf numFmtId="3" fontId="11" fillId="0" borderId="4" xfId="0" applyNumberFormat="1" applyFont="1" applyFill="1" applyBorder="1" applyAlignment="1">
      <alignment horizontal="center" vertical="top"/>
    </xf>
    <xf numFmtId="3" fontId="9" fillId="0" borderId="108" xfId="0" applyNumberFormat="1" applyFont="1" applyFill="1" applyBorder="1" applyAlignment="1">
      <alignment horizontal="center" vertical="top" wrapText="1"/>
    </xf>
    <xf numFmtId="3" fontId="9" fillId="0" borderId="109" xfId="0" applyNumberFormat="1" applyFont="1" applyFill="1" applyBorder="1" applyAlignment="1">
      <alignment horizontal="center" vertical="top" wrapText="1"/>
    </xf>
    <xf numFmtId="0" fontId="9" fillId="0" borderId="0" xfId="0" applyFont="1" applyBorder="1" applyAlignment="1">
      <alignment horizontal="center"/>
    </xf>
    <xf numFmtId="0" fontId="56" fillId="0" borderId="11" xfId="1" applyFont="1" applyFill="1" applyBorder="1" applyAlignment="1">
      <alignment horizontal="center" vertical="top" wrapText="1"/>
    </xf>
    <xf numFmtId="0" fontId="56" fillId="0" borderId="10" xfId="1" applyFont="1" applyFill="1" applyBorder="1" applyAlignment="1">
      <alignment horizontal="center" vertical="top" wrapText="1"/>
    </xf>
    <xf numFmtId="3" fontId="9" fillId="0" borderId="121" xfId="1" applyNumberFormat="1" applyFont="1" applyFill="1" applyBorder="1" applyAlignment="1">
      <alignment horizontal="center" vertical="top" wrapText="1"/>
    </xf>
    <xf numFmtId="3" fontId="9" fillId="0" borderId="134" xfId="1" applyNumberFormat="1" applyFont="1" applyFill="1" applyBorder="1" applyAlignment="1">
      <alignment horizontal="center" vertical="top" wrapText="1"/>
    </xf>
    <xf numFmtId="165" fontId="9" fillId="0" borderId="28" xfId="89" applyNumberFormat="1" applyFont="1" applyFill="1" applyBorder="1" applyAlignment="1">
      <alignment horizontal="center" vertical="top" wrapText="1"/>
    </xf>
    <xf numFmtId="165" fontId="9" fillId="0" borderId="18" xfId="89" applyNumberFormat="1" applyFont="1" applyFill="1" applyBorder="1" applyAlignment="1">
      <alignment horizontal="center" vertical="top" wrapText="1"/>
    </xf>
    <xf numFmtId="165" fontId="9" fillId="0" borderId="23" xfId="89" applyNumberFormat="1" applyFont="1" applyFill="1" applyBorder="1" applyAlignment="1">
      <alignment horizontal="center" vertical="top" wrapText="1"/>
    </xf>
    <xf numFmtId="165" fontId="9" fillId="0" borderId="29" xfId="89" applyNumberFormat="1" applyFont="1" applyFill="1" applyBorder="1" applyAlignment="1">
      <alignment horizontal="center" vertical="top" wrapText="1"/>
    </xf>
    <xf numFmtId="165" fontId="9" fillId="0" borderId="6" xfId="89" applyNumberFormat="1" applyFont="1" applyFill="1" applyBorder="1" applyAlignment="1">
      <alignment horizontal="center" vertical="top" wrapText="1"/>
    </xf>
    <xf numFmtId="165" fontId="9" fillId="0" borderId="5" xfId="89" applyNumberFormat="1" applyFont="1" applyFill="1" applyBorder="1" applyAlignment="1">
      <alignment horizontal="center" vertical="top" wrapText="1"/>
    </xf>
    <xf numFmtId="165" fontId="9" fillId="0" borderId="17" xfId="89" applyNumberFormat="1" applyFont="1" applyFill="1" applyBorder="1" applyAlignment="1">
      <alignment horizontal="center" vertical="top" wrapText="1"/>
    </xf>
    <xf numFmtId="165" fontId="9" fillId="0" borderId="4" xfId="89" applyNumberFormat="1" applyFont="1" applyFill="1" applyBorder="1" applyAlignment="1">
      <alignment horizontal="center" vertical="top" wrapText="1"/>
    </xf>
    <xf numFmtId="9" fontId="9" fillId="0" borderId="121" xfId="76" applyFont="1" applyBorder="1" applyAlignment="1">
      <alignment horizontal="center" vertical="top" wrapText="1"/>
    </xf>
    <xf numFmtId="9" fontId="9" fillId="0" borderId="108" xfId="76" applyFont="1" applyBorder="1" applyAlignment="1">
      <alignment horizontal="center" vertical="top" wrapText="1"/>
    </xf>
    <xf numFmtId="9" fontId="9" fillId="0" borderId="109" xfId="76" applyFont="1" applyBorder="1" applyAlignment="1">
      <alignment horizontal="center" vertical="top" wrapText="1"/>
    </xf>
    <xf numFmtId="9" fontId="15" fillId="4" borderId="88" xfId="76" applyFont="1" applyFill="1" applyBorder="1" applyAlignment="1">
      <alignment vertical="top" wrapText="1"/>
    </xf>
    <xf numFmtId="3" fontId="11" fillId="0" borderId="7" xfId="0" applyNumberFormat="1" applyFont="1" applyBorder="1" applyAlignment="1">
      <alignment horizontal="center" vertical="top" wrapText="1"/>
    </xf>
    <xf numFmtId="3" fontId="11" fillId="0" borderId="0" xfId="0" applyNumberFormat="1" applyFont="1" applyBorder="1" applyAlignment="1">
      <alignment horizontal="center" vertical="top" wrapText="1"/>
    </xf>
    <xf numFmtId="3" fontId="9" fillId="0" borderId="23" xfId="2" applyNumberFormat="1" applyFont="1" applyBorder="1" applyAlignment="1">
      <alignment horizontal="center" vertical="top" wrapText="1"/>
    </xf>
    <xf numFmtId="3" fontId="11" fillId="0" borderId="21" xfId="0" applyNumberFormat="1" applyFont="1" applyBorder="1" applyAlignment="1">
      <alignment horizontal="center" vertical="top" wrapText="1"/>
    </xf>
    <xf numFmtId="3" fontId="11" fillId="0" borderId="132" xfId="0" applyNumberFormat="1" applyFont="1" applyBorder="1" applyAlignment="1">
      <alignment horizontal="center" vertical="top" wrapText="1"/>
    </xf>
    <xf numFmtId="0" fontId="35" fillId="0" borderId="0" xfId="191" applyFont="1"/>
    <xf numFmtId="0" fontId="72" fillId="0" borderId="0" xfId="191"/>
    <xf numFmtId="0" fontId="39" fillId="0" borderId="0" xfId="191" applyFont="1"/>
    <xf numFmtId="0" fontId="72" fillId="0" borderId="123" xfId="191" applyBorder="1"/>
    <xf numFmtId="0" fontId="14" fillId="21" borderId="124" xfId="78" applyFont="1" applyFill="1" applyBorder="1" applyAlignment="1">
      <alignment horizontal="center" wrapText="1"/>
    </xf>
    <xf numFmtId="0" fontId="14" fillId="22" borderId="124" xfId="78" applyFont="1" applyFill="1" applyBorder="1" applyAlignment="1">
      <alignment horizontal="center" wrapText="1"/>
    </xf>
    <xf numFmtId="0" fontId="14" fillId="23" borderId="124" xfId="78" applyFont="1" applyFill="1" applyBorder="1" applyAlignment="1">
      <alignment horizontal="center" wrapText="1"/>
    </xf>
    <xf numFmtId="0" fontId="14" fillId="24" borderId="124" xfId="78" applyFont="1" applyFill="1" applyBorder="1" applyAlignment="1">
      <alignment horizontal="center" wrapText="1"/>
    </xf>
    <xf numFmtId="0" fontId="14" fillId="25" borderId="124" xfId="78" applyFont="1" applyFill="1" applyBorder="1" applyAlignment="1">
      <alignment horizontal="center" wrapText="1"/>
    </xf>
    <xf numFmtId="0" fontId="14" fillId="26" borderId="124" xfId="78" applyFont="1" applyFill="1" applyBorder="1" applyAlignment="1">
      <alignment horizontal="center" wrapText="1"/>
    </xf>
    <xf numFmtId="0" fontId="14" fillId="23" borderId="125" xfId="78" applyFont="1" applyFill="1" applyBorder="1" applyAlignment="1">
      <alignment horizontal="center" wrapText="1"/>
    </xf>
    <xf numFmtId="0" fontId="35" fillId="17" borderId="28" xfId="191" applyFont="1" applyFill="1" applyBorder="1"/>
    <xf numFmtId="0" fontId="72" fillId="0" borderId="28" xfId="191" applyFill="1" applyBorder="1"/>
    <xf numFmtId="0" fontId="72" fillId="17" borderId="18" xfId="191" applyFill="1" applyBorder="1"/>
    <xf numFmtId="0" fontId="72" fillId="19" borderId="18" xfId="191" applyFill="1" applyBorder="1"/>
    <xf numFmtId="0" fontId="35" fillId="14" borderId="6" xfId="191" applyFont="1" applyFill="1" applyBorder="1"/>
    <xf numFmtId="0" fontId="72" fillId="14" borderId="5" xfId="191" applyFill="1" applyBorder="1"/>
    <xf numFmtId="0" fontId="72" fillId="19" borderId="5" xfId="191" applyFill="1" applyBorder="1"/>
    <xf numFmtId="0" fontId="35" fillId="27" borderId="0" xfId="191" applyFont="1" applyFill="1"/>
    <xf numFmtId="0" fontId="72" fillId="0" borderId="18" xfId="191" applyBorder="1"/>
    <xf numFmtId="0" fontId="35" fillId="0" borderId="18" xfId="191" applyFont="1" applyBorder="1" applyAlignment="1">
      <alignment horizontal="right"/>
    </xf>
    <xf numFmtId="0" fontId="35" fillId="0" borderId="18" xfId="191" applyFont="1" applyBorder="1" applyAlignment="1">
      <alignment horizontal="center" wrapText="1"/>
    </xf>
    <xf numFmtId="0" fontId="35" fillId="0" borderId="18" xfId="191" applyFont="1" applyBorder="1" applyAlignment="1">
      <alignment horizontal="center"/>
    </xf>
    <xf numFmtId="0" fontId="35" fillId="27" borderId="18" xfId="191" applyFont="1" applyFill="1" applyBorder="1" applyAlignment="1">
      <alignment horizontal="center"/>
    </xf>
    <xf numFmtId="0" fontId="72" fillId="28" borderId="22" xfId="191" applyFill="1" applyBorder="1" applyAlignment="1">
      <alignment horizontal="center"/>
    </xf>
    <xf numFmtId="0" fontId="72" fillId="0" borderId="18" xfId="191" applyBorder="1" applyAlignment="1">
      <alignment horizontal="center"/>
    </xf>
    <xf numFmtId="0" fontId="72" fillId="27" borderId="18" xfId="191" applyFill="1" applyBorder="1" applyAlignment="1">
      <alignment horizontal="center"/>
    </xf>
    <xf numFmtId="0" fontId="40" fillId="0" borderId="0" xfId="191" applyFont="1"/>
    <xf numFmtId="0" fontId="72" fillId="27" borderId="18" xfId="191" applyFill="1" applyBorder="1"/>
    <xf numFmtId="0" fontId="35" fillId="16" borderId="0" xfId="191" applyFont="1" applyFill="1" applyBorder="1" applyAlignment="1">
      <alignment horizontal="right"/>
    </xf>
    <xf numFmtId="9" fontId="72" fillId="0" borderId="0" xfId="191" applyNumberFormat="1"/>
    <xf numFmtId="0" fontId="72" fillId="16" borderId="0" xfId="191" applyFill="1"/>
    <xf numFmtId="0" fontId="35" fillId="0" borderId="18" xfId="191" applyFont="1" applyFill="1" applyBorder="1" applyAlignment="1">
      <alignment horizontal="center"/>
    </xf>
    <xf numFmtId="0" fontId="35" fillId="16" borderId="18" xfId="191" applyFont="1" applyFill="1" applyBorder="1" applyAlignment="1">
      <alignment horizontal="center"/>
    </xf>
    <xf numFmtId="1" fontId="72" fillId="16" borderId="18" xfId="191" applyNumberFormat="1" applyFill="1" applyBorder="1"/>
    <xf numFmtId="1" fontId="72" fillId="0" borderId="18" xfId="191" applyNumberFormat="1" applyBorder="1"/>
    <xf numFmtId="0" fontId="35" fillId="0" borderId="22" xfId="191" applyFont="1" applyFill="1" applyBorder="1" applyAlignment="1">
      <alignment horizontal="right"/>
    </xf>
    <xf numFmtId="0" fontId="72" fillId="0" borderId="22" xfId="191" applyFill="1" applyBorder="1"/>
    <xf numFmtId="1" fontId="72" fillId="16" borderId="0" xfId="191" applyNumberFormat="1" applyFill="1"/>
    <xf numFmtId="1" fontId="72" fillId="16" borderId="22" xfId="191" applyNumberFormat="1" applyFill="1" applyBorder="1"/>
    <xf numFmtId="1" fontId="72" fillId="0" borderId="0" xfId="191" applyNumberFormat="1"/>
    <xf numFmtId="1" fontId="72" fillId="0" borderId="22" xfId="191" applyNumberFormat="1" applyFill="1" applyBorder="1"/>
    <xf numFmtId="0" fontId="62" fillId="0" borderId="0" xfId="191" applyFont="1"/>
    <xf numFmtId="165" fontId="72" fillId="0" borderId="18" xfId="192" applyNumberFormat="1" applyFont="1" applyBorder="1"/>
    <xf numFmtId="165" fontId="72" fillId="27" borderId="18" xfId="192" applyNumberFormat="1" applyFont="1" applyFill="1" applyBorder="1"/>
    <xf numFmtId="10" fontId="3" fillId="0" borderId="0" xfId="191" applyNumberFormat="1" applyFont="1"/>
    <xf numFmtId="10" fontId="4" fillId="0" borderId="0" xfId="191" applyNumberFormat="1" applyFont="1"/>
    <xf numFmtId="165" fontId="72" fillId="0" borderId="0" xfId="192" applyNumberFormat="1" applyFont="1"/>
    <xf numFmtId="165" fontId="35" fillId="0" borderId="18" xfId="192" applyNumberFormat="1" applyFont="1" applyBorder="1" applyAlignment="1">
      <alignment horizontal="center" wrapText="1"/>
    </xf>
    <xf numFmtId="165" fontId="35" fillId="0" borderId="18" xfId="192" applyNumberFormat="1" applyFont="1" applyBorder="1" applyAlignment="1">
      <alignment horizontal="center"/>
    </xf>
    <xf numFmtId="165" fontId="35" fillId="27" borderId="18" xfId="192" applyNumberFormat="1" applyFont="1" applyFill="1" applyBorder="1" applyAlignment="1">
      <alignment horizontal="center"/>
    </xf>
    <xf numFmtId="0" fontId="72" fillId="16" borderId="18" xfId="191" applyFill="1" applyBorder="1"/>
    <xf numFmtId="0" fontId="9" fillId="16" borderId="18" xfId="191" applyFont="1" applyFill="1" applyBorder="1"/>
    <xf numFmtId="0" fontId="35" fillId="16" borderId="18" xfId="191" applyFont="1" applyFill="1" applyBorder="1" applyAlignment="1">
      <alignment horizontal="right"/>
    </xf>
    <xf numFmtId="0" fontId="43" fillId="0" borderId="0" xfId="193" applyFont="1"/>
    <xf numFmtId="0" fontId="44" fillId="0" borderId="0" xfId="193" applyFont="1"/>
    <xf numFmtId="0" fontId="44" fillId="0" borderId="17" xfId="193" applyFont="1" applyBorder="1"/>
    <xf numFmtId="0" fontId="5" fillId="0" borderId="0" xfId="193"/>
    <xf numFmtId="0" fontId="44" fillId="0" borderId="111" xfId="193" applyFont="1" applyBorder="1"/>
    <xf numFmtId="0" fontId="44" fillId="0" borderId="71" xfId="193" applyFont="1" applyBorder="1"/>
    <xf numFmtId="0" fontId="44" fillId="0" borderId="24" xfId="193" applyFont="1" applyBorder="1"/>
    <xf numFmtId="0" fontId="44" fillId="0" borderId="92" xfId="193" applyFont="1" applyBorder="1"/>
    <xf numFmtId="0" fontId="44" fillId="0" borderId="73" xfId="193" applyFont="1" applyBorder="1"/>
    <xf numFmtId="16" fontId="5" fillId="0" borderId="0" xfId="193" quotePrefix="1" applyNumberFormat="1"/>
    <xf numFmtId="0" fontId="5" fillId="0" borderId="0" xfId="193" quotePrefix="1"/>
    <xf numFmtId="0" fontId="44" fillId="0" borderId="23" xfId="193" applyFont="1" applyBorder="1"/>
    <xf numFmtId="165" fontId="0" fillId="29" borderId="28" xfId="194" applyNumberFormat="1" applyFont="1" applyFill="1" applyBorder="1"/>
    <xf numFmtId="165" fontId="0" fillId="29" borderId="18" xfId="194" applyNumberFormat="1" applyFont="1" applyFill="1" applyBorder="1"/>
    <xf numFmtId="3" fontId="44" fillId="0" borderId="29" xfId="193" applyNumberFormat="1" applyFont="1" applyBorder="1"/>
    <xf numFmtId="3" fontId="44" fillId="0" borderId="23" xfId="193" applyNumberFormat="1" applyFont="1" applyBorder="1"/>
    <xf numFmtId="3" fontId="44" fillId="0" borderId="28" xfId="193" applyNumberFormat="1" applyFont="1" applyBorder="1"/>
    <xf numFmtId="3" fontId="44" fillId="0" borderId="18" xfId="193" applyNumberFormat="1" applyFont="1" applyBorder="1"/>
    <xf numFmtId="9" fontId="44" fillId="0" borderId="28" xfId="193" applyNumberFormat="1" applyFont="1" applyBorder="1"/>
    <xf numFmtId="9" fontId="44" fillId="0" borderId="18" xfId="193" applyNumberFormat="1" applyFont="1" applyBorder="1"/>
    <xf numFmtId="9" fontId="44" fillId="0" borderId="29" xfId="193" applyNumberFormat="1" applyFont="1" applyBorder="1"/>
    <xf numFmtId="9" fontId="44" fillId="0" borderId="0" xfId="195" applyFont="1"/>
    <xf numFmtId="0" fontId="44" fillId="0" borderId="44" xfId="193" applyFont="1" applyBorder="1"/>
    <xf numFmtId="3" fontId="44" fillId="0" borderId="70" xfId="193" applyNumberFormat="1" applyFont="1" applyBorder="1"/>
    <xf numFmtId="3" fontId="44" fillId="0" borderId="21" xfId="193" applyNumberFormat="1" applyFont="1" applyBorder="1"/>
    <xf numFmtId="3" fontId="44" fillId="0" borderId="91" xfId="193" applyNumberFormat="1" applyFont="1" applyBorder="1"/>
    <xf numFmtId="9" fontId="44" fillId="0" borderId="70" xfId="193" applyNumberFormat="1" applyFont="1" applyBorder="1"/>
    <xf numFmtId="9" fontId="44" fillId="0" borderId="21" xfId="193" applyNumberFormat="1" applyFont="1" applyBorder="1"/>
    <xf numFmtId="9" fontId="44" fillId="0" borderId="91" xfId="193" applyNumberFormat="1" applyFont="1" applyBorder="1"/>
    <xf numFmtId="3" fontId="44" fillId="0" borderId="44" xfId="193" applyNumberFormat="1" applyFont="1" applyBorder="1"/>
    <xf numFmtId="3" fontId="44" fillId="0" borderId="6" xfId="193" applyNumberFormat="1" applyFont="1" applyBorder="1"/>
    <xf numFmtId="3" fontId="44" fillId="0" borderId="5" xfId="193" applyNumberFormat="1" applyFont="1" applyBorder="1"/>
    <xf numFmtId="3" fontId="44" fillId="0" borderId="4" xfId="193" applyNumberFormat="1" applyFont="1" applyBorder="1"/>
    <xf numFmtId="3" fontId="44" fillId="0" borderId="40" xfId="193" applyNumberFormat="1" applyFont="1" applyBorder="1"/>
    <xf numFmtId="3" fontId="44" fillId="0" borderId="17" xfId="193" applyNumberFormat="1" applyFont="1" applyBorder="1"/>
    <xf numFmtId="3" fontId="43" fillId="0" borderId="112" xfId="193" applyNumberFormat="1" applyFont="1" applyBorder="1"/>
    <xf numFmtId="9" fontId="44" fillId="0" borderId="40" xfId="193" applyNumberFormat="1" applyFont="1" applyBorder="1"/>
    <xf numFmtId="9" fontId="44" fillId="0" borderId="17" xfId="193" applyNumberFormat="1" applyFont="1" applyBorder="1"/>
    <xf numFmtId="9" fontId="44" fillId="0" borderId="132" xfId="193" applyNumberFormat="1" applyFont="1" applyBorder="1"/>
    <xf numFmtId="0" fontId="44" fillId="0" borderId="0" xfId="193" applyFont="1" applyBorder="1"/>
    <xf numFmtId="3" fontId="44" fillId="0" borderId="0" xfId="193" applyNumberFormat="1" applyFont="1" applyBorder="1"/>
    <xf numFmtId="3" fontId="43" fillId="0" borderId="0" xfId="193" applyNumberFormat="1" applyFont="1" applyBorder="1"/>
    <xf numFmtId="9" fontId="44" fillId="0" borderId="0" xfId="193" applyNumberFormat="1" applyFont="1" applyBorder="1"/>
    <xf numFmtId="0" fontId="43" fillId="0" borderId="0" xfId="193" applyFont="1" applyFill="1" applyBorder="1"/>
    <xf numFmtId="3" fontId="44" fillId="29" borderId="72" xfId="193" applyNumberFormat="1" applyFont="1" applyFill="1" applyBorder="1"/>
    <xf numFmtId="3" fontId="44" fillId="29" borderId="18" xfId="193" applyNumberFormat="1" applyFont="1" applyFill="1" applyBorder="1"/>
    <xf numFmtId="0" fontId="44" fillId="0" borderId="131" xfId="193" applyFont="1" applyBorder="1"/>
    <xf numFmtId="0" fontId="44" fillId="0" borderId="13" xfId="193" applyFont="1" applyBorder="1"/>
    <xf numFmtId="0" fontId="44" fillId="0" borderId="72" xfId="193" applyFont="1" applyBorder="1"/>
    <xf numFmtId="3" fontId="44" fillId="28" borderId="44" xfId="193" applyNumberFormat="1" applyFont="1" applyFill="1" applyBorder="1"/>
    <xf numFmtId="0" fontId="44" fillId="0" borderId="12" xfId="193" applyFont="1" applyBorder="1"/>
    <xf numFmtId="0" fontId="44" fillId="0" borderId="14" xfId="193" applyFont="1" applyBorder="1"/>
    <xf numFmtId="3" fontId="44" fillId="28" borderId="5" xfId="193" applyNumberFormat="1" applyFont="1" applyFill="1" applyBorder="1"/>
    <xf numFmtId="3" fontId="44" fillId="28" borderId="17" xfId="193" applyNumberFormat="1" applyFont="1" applyFill="1" applyBorder="1"/>
    <xf numFmtId="3" fontId="43" fillId="0" borderId="118" xfId="193" applyNumberFormat="1" applyFont="1" applyBorder="1"/>
    <xf numFmtId="0" fontId="44" fillId="0" borderId="119" xfId="193" applyFont="1" applyBorder="1"/>
    <xf numFmtId="0" fontId="44" fillId="0" borderId="30" xfId="193" applyFont="1" applyBorder="1"/>
    <xf numFmtId="3" fontId="44" fillId="0" borderId="44" xfId="193" applyNumberFormat="1" applyFont="1" applyFill="1" applyBorder="1"/>
    <xf numFmtId="0" fontId="44" fillId="0" borderId="31" xfId="193" applyFont="1" applyBorder="1"/>
    <xf numFmtId="0" fontId="44" fillId="0" borderId="113" xfId="193" applyFont="1" applyBorder="1"/>
    <xf numFmtId="3" fontId="44" fillId="0" borderId="5" xfId="193" applyNumberFormat="1" applyFont="1" applyFill="1" applyBorder="1"/>
    <xf numFmtId="3" fontId="44" fillId="0" borderId="17" xfId="193" applyNumberFormat="1" applyFont="1" applyFill="1" applyBorder="1"/>
    <xf numFmtId="0" fontId="43" fillId="16" borderId="0" xfId="193" applyFont="1" applyFill="1" applyBorder="1"/>
    <xf numFmtId="3" fontId="43" fillId="16" borderId="0" xfId="193" applyNumberFormat="1" applyFont="1" applyFill="1" applyBorder="1"/>
    <xf numFmtId="3" fontId="44" fillId="16" borderId="0" xfId="193" applyNumberFormat="1" applyFont="1" applyFill="1" applyBorder="1"/>
    <xf numFmtId="9" fontId="44" fillId="16" borderId="0" xfId="193" applyNumberFormat="1" applyFont="1" applyFill="1" applyBorder="1"/>
    <xf numFmtId="0" fontId="43" fillId="16" borderId="0" xfId="193" applyFont="1" applyFill="1"/>
    <xf numFmtId="0" fontId="44" fillId="16" borderId="0" xfId="193" applyFont="1" applyFill="1"/>
    <xf numFmtId="0" fontId="44" fillId="16" borderId="131" xfId="193" applyFont="1" applyFill="1" applyBorder="1"/>
    <xf numFmtId="0" fontId="44" fillId="16" borderId="119" xfId="193" applyFont="1" applyFill="1" applyBorder="1"/>
    <xf numFmtId="0" fontId="44" fillId="16" borderId="73" xfId="193" applyFont="1" applyFill="1" applyBorder="1"/>
    <xf numFmtId="0" fontId="44" fillId="16" borderId="24" xfId="193" applyFont="1" applyFill="1" applyBorder="1"/>
    <xf numFmtId="0" fontId="44" fillId="16" borderId="92" xfId="193" applyFont="1" applyFill="1" applyBorder="1"/>
    <xf numFmtId="0" fontId="44" fillId="16" borderId="111" xfId="193" applyFont="1" applyFill="1" applyBorder="1"/>
    <xf numFmtId="0" fontId="44" fillId="16" borderId="71" xfId="193" applyFont="1" applyFill="1" applyBorder="1"/>
    <xf numFmtId="0" fontId="44" fillId="16" borderId="30" xfId="193" applyFont="1" applyFill="1" applyBorder="1"/>
    <xf numFmtId="3" fontId="44" fillId="16" borderId="72" xfId="193" applyNumberFormat="1" applyFont="1" applyFill="1" applyBorder="1"/>
    <xf numFmtId="3" fontId="44" fillId="16" borderId="18" xfId="193" applyNumberFormat="1" applyFont="1" applyFill="1" applyBorder="1"/>
    <xf numFmtId="3" fontId="44" fillId="16" borderId="29" xfId="193" applyNumberFormat="1" applyFont="1" applyFill="1" applyBorder="1"/>
    <xf numFmtId="165" fontId="0" fillId="16" borderId="28" xfId="194" applyNumberFormat="1" applyFont="1" applyFill="1" applyBorder="1"/>
    <xf numFmtId="165" fontId="0" fillId="16" borderId="18" xfId="194" applyNumberFormat="1" applyFont="1" applyFill="1" applyBorder="1"/>
    <xf numFmtId="3" fontId="44" fillId="16" borderId="44" xfId="193" applyNumberFormat="1" applyFont="1" applyFill="1" applyBorder="1"/>
    <xf numFmtId="3" fontId="44" fillId="16" borderId="28" xfId="193" applyNumberFormat="1" applyFont="1" applyFill="1" applyBorder="1"/>
    <xf numFmtId="9" fontId="44" fillId="16" borderId="28" xfId="193" applyNumberFormat="1" applyFont="1" applyFill="1" applyBorder="1"/>
    <xf numFmtId="9" fontId="44" fillId="16" borderId="18" xfId="193" applyNumberFormat="1" applyFont="1" applyFill="1" applyBorder="1"/>
    <xf numFmtId="9" fontId="44" fillId="16" borderId="29" xfId="193" applyNumberFormat="1" applyFont="1" applyFill="1" applyBorder="1"/>
    <xf numFmtId="0" fontId="44" fillId="16" borderId="31" xfId="193" applyFont="1" applyFill="1" applyBorder="1"/>
    <xf numFmtId="3" fontId="44" fillId="16" borderId="70" xfId="193" applyNumberFormat="1" applyFont="1" applyFill="1" applyBorder="1"/>
    <xf numFmtId="3" fontId="44" fillId="16" borderId="21" xfId="193" applyNumberFormat="1" applyFont="1" applyFill="1" applyBorder="1"/>
    <xf numFmtId="3" fontId="44" fillId="16" borderId="91" xfId="193" applyNumberFormat="1" applyFont="1" applyFill="1" applyBorder="1"/>
    <xf numFmtId="9" fontId="44" fillId="16" borderId="70" xfId="193" applyNumberFormat="1" applyFont="1" applyFill="1" applyBorder="1"/>
    <xf numFmtId="9" fontId="44" fillId="16" borderId="21" xfId="193" applyNumberFormat="1" applyFont="1" applyFill="1" applyBorder="1"/>
    <xf numFmtId="9" fontId="44" fillId="16" borderId="91" xfId="193" applyNumberFormat="1" applyFont="1" applyFill="1" applyBorder="1"/>
    <xf numFmtId="0" fontId="44" fillId="16" borderId="113" xfId="193" applyFont="1" applyFill="1" applyBorder="1"/>
    <xf numFmtId="3" fontId="44" fillId="16" borderId="40" xfId="193" applyNumberFormat="1" applyFont="1" applyFill="1" applyBorder="1"/>
    <xf numFmtId="3" fontId="44" fillId="16" borderId="5" xfId="193" applyNumberFormat="1" applyFont="1" applyFill="1" applyBorder="1"/>
    <xf numFmtId="3" fontId="44" fillId="16" borderId="4" xfId="193" applyNumberFormat="1" applyFont="1" applyFill="1" applyBorder="1"/>
    <xf numFmtId="3" fontId="44" fillId="16" borderId="17" xfId="193" applyNumberFormat="1" applyFont="1" applyFill="1" applyBorder="1"/>
    <xf numFmtId="3" fontId="44" fillId="16" borderId="6" xfId="193" applyNumberFormat="1" applyFont="1" applyFill="1" applyBorder="1"/>
    <xf numFmtId="3" fontId="43" fillId="16" borderId="118" xfId="193" applyNumberFormat="1" applyFont="1" applyFill="1" applyBorder="1"/>
    <xf numFmtId="9" fontId="44" fillId="16" borderId="40" xfId="193" applyNumberFormat="1" applyFont="1" applyFill="1" applyBorder="1"/>
    <xf numFmtId="9" fontId="44" fillId="16" borderId="17" xfId="193" applyNumberFormat="1" applyFont="1" applyFill="1" applyBorder="1"/>
    <xf numFmtId="9" fontId="44" fillId="16" borderId="132" xfId="193" applyNumberFormat="1" applyFont="1" applyFill="1" applyBorder="1"/>
    <xf numFmtId="0" fontId="3" fillId="0" borderId="0" xfId="196"/>
    <xf numFmtId="0" fontId="3" fillId="16" borderId="0" xfId="196" applyFill="1"/>
    <xf numFmtId="0" fontId="3" fillId="29" borderId="0" xfId="196" applyFill="1"/>
    <xf numFmtId="0" fontId="44" fillId="0" borderId="0" xfId="193" applyFont="1" applyFill="1" applyBorder="1"/>
    <xf numFmtId="0" fontId="44" fillId="29" borderId="73" xfId="193" applyFont="1" applyFill="1" applyBorder="1"/>
    <xf numFmtId="0" fontId="44" fillId="29" borderId="24" xfId="193" applyFont="1" applyFill="1" applyBorder="1"/>
    <xf numFmtId="3" fontId="44" fillId="0" borderId="28" xfId="193" applyNumberFormat="1" applyFont="1" applyFill="1" applyBorder="1"/>
    <xf numFmtId="3" fontId="3" fillId="0" borderId="0" xfId="196" applyNumberFormat="1"/>
    <xf numFmtId="3" fontId="3" fillId="28" borderId="0" xfId="196" applyNumberFormat="1" applyFill="1"/>
    <xf numFmtId="0" fontId="3" fillId="37" borderId="0" xfId="196" applyFill="1"/>
    <xf numFmtId="3" fontId="3" fillId="0" borderId="0" xfId="196" applyNumberFormat="1" applyFill="1"/>
    <xf numFmtId="3" fontId="39" fillId="0" borderId="0" xfId="193" applyNumberFormat="1" applyFont="1" applyBorder="1"/>
    <xf numFmtId="0" fontId="43" fillId="29" borderId="18" xfId="193" applyFont="1" applyFill="1" applyBorder="1"/>
    <xf numFmtId="3" fontId="43" fillId="16" borderId="123" xfId="193" applyNumberFormat="1" applyFont="1" applyFill="1" applyBorder="1"/>
    <xf numFmtId="0" fontId="44" fillId="16" borderId="102" xfId="193" applyFont="1" applyFill="1" applyBorder="1"/>
    <xf numFmtId="3" fontId="44" fillId="16" borderId="124" xfId="193" applyNumberFormat="1" applyFont="1" applyFill="1" applyBorder="1"/>
    <xf numFmtId="3" fontId="43" fillId="16" borderId="124" xfId="193" applyNumberFormat="1" applyFont="1" applyFill="1" applyBorder="1"/>
    <xf numFmtId="9" fontId="44" fillId="16" borderId="125" xfId="193" applyNumberFormat="1" applyFont="1" applyFill="1" applyBorder="1"/>
    <xf numFmtId="3" fontId="43" fillId="29" borderId="18" xfId="193" applyNumberFormat="1" applyFont="1" applyFill="1" applyBorder="1"/>
    <xf numFmtId="0" fontId="43" fillId="16" borderId="18" xfId="194" applyNumberFormat="1" applyFont="1" applyFill="1" applyBorder="1"/>
    <xf numFmtId="3" fontId="44" fillId="28" borderId="18" xfId="193" applyNumberFormat="1" applyFont="1" applyFill="1" applyBorder="1"/>
    <xf numFmtId="3" fontId="44" fillId="0" borderId="18" xfId="193" applyNumberFormat="1" applyFont="1" applyFill="1" applyBorder="1"/>
    <xf numFmtId="3" fontId="43" fillId="16" borderId="28" xfId="193" applyNumberFormat="1" applyFont="1" applyFill="1" applyBorder="1"/>
    <xf numFmtId="3" fontId="43" fillId="16" borderId="18" xfId="193" applyNumberFormat="1" applyFont="1" applyFill="1" applyBorder="1"/>
    <xf numFmtId="165" fontId="44" fillId="16" borderId="29" xfId="193" applyNumberFormat="1" applyFont="1" applyFill="1" applyBorder="1"/>
    <xf numFmtId="3" fontId="43" fillId="28" borderId="18" xfId="193" applyNumberFormat="1" applyFont="1" applyFill="1" applyBorder="1"/>
    <xf numFmtId="3" fontId="43" fillId="0" borderId="18" xfId="193" applyNumberFormat="1" applyFont="1" applyFill="1" applyBorder="1"/>
    <xf numFmtId="0" fontId="43" fillId="16" borderId="6" xfId="193" applyFont="1" applyFill="1" applyBorder="1"/>
    <xf numFmtId="165" fontId="43" fillId="16" borderId="5" xfId="194" applyNumberFormat="1" applyFont="1" applyFill="1" applyBorder="1"/>
    <xf numFmtId="165" fontId="43" fillId="16" borderId="5" xfId="193" applyNumberFormat="1" applyFont="1" applyFill="1" applyBorder="1"/>
    <xf numFmtId="165" fontId="43" fillId="16" borderId="4" xfId="193" applyNumberFormat="1" applyFont="1" applyFill="1" applyBorder="1"/>
    <xf numFmtId="0" fontId="63" fillId="36" borderId="23" xfId="193" applyFont="1" applyFill="1" applyBorder="1"/>
    <xf numFmtId="0" fontId="64" fillId="36" borderId="11" xfId="193" applyFont="1" applyFill="1" applyBorder="1"/>
    <xf numFmtId="0" fontId="64" fillId="36" borderId="25" xfId="193" applyFont="1" applyFill="1" applyBorder="1"/>
    <xf numFmtId="0" fontId="15" fillId="4" borderId="131" xfId="190" applyFont="1" applyFill="1" applyBorder="1" applyAlignment="1">
      <alignment vertical="top" wrapText="1"/>
    </xf>
    <xf numFmtId="0" fontId="15" fillId="4" borderId="127" xfId="190" applyFont="1" applyFill="1" applyBorder="1" applyAlignment="1">
      <alignment vertical="top" wrapText="1"/>
    </xf>
    <xf numFmtId="0" fontId="15" fillId="4" borderId="127" xfId="190" applyFont="1" applyFill="1" applyBorder="1" applyAlignment="1">
      <alignment horizontal="center" vertical="top" wrapText="1"/>
    </xf>
    <xf numFmtId="0" fontId="15" fillId="4" borderId="130" xfId="190" applyFont="1" applyFill="1" applyBorder="1" applyAlignment="1">
      <alignment vertical="top" wrapText="1"/>
    </xf>
    <xf numFmtId="0" fontId="64" fillId="36" borderId="62" xfId="193" applyFont="1" applyFill="1" applyBorder="1"/>
    <xf numFmtId="0" fontId="63" fillId="36" borderId="18" xfId="193" applyFont="1" applyFill="1" applyBorder="1"/>
    <xf numFmtId="3" fontId="63" fillId="36" borderId="18" xfId="193" applyNumberFormat="1" applyFont="1" applyFill="1" applyBorder="1"/>
    <xf numFmtId="0" fontId="9" fillId="0" borderId="28" xfId="190" applyFont="1" applyBorder="1" applyAlignment="1">
      <alignment horizontal="left" vertical="top" wrapText="1"/>
    </xf>
    <xf numFmtId="3" fontId="9" fillId="0" borderId="19" xfId="190" applyNumberFormat="1" applyFont="1" applyBorder="1" applyAlignment="1">
      <alignment horizontal="center" vertical="top" wrapText="1"/>
    </xf>
    <xf numFmtId="3" fontId="9" fillId="0" borderId="18" xfId="190" applyNumberFormat="1" applyFont="1" applyBorder="1" applyAlignment="1">
      <alignment horizontal="center" vertical="top" wrapText="1"/>
    </xf>
    <xf numFmtId="3" fontId="9" fillId="0" borderId="23" xfId="190" applyNumberFormat="1" applyFont="1" applyBorder="1" applyAlignment="1">
      <alignment horizontal="center" vertical="top" wrapText="1"/>
    </xf>
    <xf numFmtId="0" fontId="15" fillId="0" borderId="119" xfId="190" applyFont="1" applyBorder="1" applyAlignment="1">
      <alignment horizontal="center" vertical="top" wrapText="1"/>
    </xf>
    <xf numFmtId="165" fontId="9" fillId="0" borderId="19" xfId="197" applyNumberFormat="1" applyFont="1" applyBorder="1" applyAlignment="1">
      <alignment horizontal="center" vertical="top" wrapText="1"/>
    </xf>
    <xf numFmtId="165" fontId="15" fillId="0" borderId="119" xfId="197" applyNumberFormat="1" applyFont="1" applyBorder="1" applyAlignment="1">
      <alignment horizontal="center" vertical="top" wrapText="1"/>
    </xf>
    <xf numFmtId="0" fontId="44" fillId="36" borderId="30" xfId="193" applyFont="1" applyFill="1" applyBorder="1"/>
    <xf numFmtId="3" fontId="64" fillId="36" borderId="0" xfId="193" applyNumberFormat="1" applyFont="1" applyFill="1" applyBorder="1"/>
    <xf numFmtId="3" fontId="64" fillId="36" borderId="26" xfId="193" applyNumberFormat="1" applyFont="1" applyFill="1" applyBorder="1"/>
    <xf numFmtId="0" fontId="15" fillId="0" borderId="30" xfId="190" applyFont="1" applyBorder="1" applyAlignment="1">
      <alignment horizontal="center" vertical="top" wrapText="1"/>
    </xf>
    <xf numFmtId="165" fontId="15" fillId="0" borderId="30" xfId="197" applyNumberFormat="1" applyFont="1" applyBorder="1" applyAlignment="1">
      <alignment horizontal="center" vertical="top" wrapText="1"/>
    </xf>
    <xf numFmtId="0" fontId="15" fillId="0" borderId="6" xfId="190" applyFont="1" applyBorder="1" applyAlignment="1">
      <alignment horizontal="left" vertical="top" wrapText="1"/>
    </xf>
    <xf numFmtId="0" fontId="15" fillId="0" borderId="40" xfId="190" applyFont="1" applyBorder="1" applyAlignment="1">
      <alignment horizontal="center" vertical="top" wrapText="1"/>
    </xf>
    <xf numFmtId="0" fontId="15" fillId="0" borderId="15" xfId="190" applyFont="1" applyBorder="1" applyAlignment="1">
      <alignment horizontal="center" vertical="top" wrapText="1"/>
    </xf>
    <xf numFmtId="0" fontId="15" fillId="0" borderId="113" xfId="190" applyFont="1" applyBorder="1" applyAlignment="1">
      <alignment horizontal="center" vertical="top" wrapText="1"/>
    </xf>
    <xf numFmtId="165" fontId="15" fillId="0" borderId="40" xfId="197" applyNumberFormat="1" applyFont="1" applyBorder="1" applyAlignment="1">
      <alignment horizontal="center" vertical="top" wrapText="1"/>
    </xf>
    <xf numFmtId="165" fontId="15" fillId="0" borderId="113" xfId="197" applyNumberFormat="1" applyFont="1" applyBorder="1" applyAlignment="1">
      <alignment horizontal="center" vertical="top" wrapText="1"/>
    </xf>
    <xf numFmtId="0" fontId="44" fillId="36" borderId="31" xfId="193" applyFont="1" applyFill="1" applyBorder="1"/>
    <xf numFmtId="0" fontId="9" fillId="0" borderId="123" xfId="190" applyFont="1" applyBorder="1" applyAlignment="1">
      <alignment horizontal="left" vertical="top" wrapText="1"/>
    </xf>
    <xf numFmtId="3" fontId="9" fillId="0" borderId="48" xfId="190" applyNumberFormat="1" applyFont="1" applyBorder="1" applyAlignment="1">
      <alignment horizontal="center" vertical="top" wrapText="1"/>
    </xf>
    <xf numFmtId="3" fontId="9" fillId="0" borderId="124" xfId="190" applyNumberFormat="1" applyFont="1" applyBorder="1" applyAlignment="1">
      <alignment horizontal="center" vertical="top" wrapText="1"/>
    </xf>
    <xf numFmtId="3" fontId="9" fillId="0" borderId="39" xfId="190" applyNumberFormat="1" applyFont="1" applyBorder="1" applyAlignment="1">
      <alignment horizontal="center" vertical="top" wrapText="1"/>
    </xf>
    <xf numFmtId="43" fontId="9" fillId="0" borderId="48" xfId="197" applyNumberFormat="1" applyFont="1" applyBorder="1" applyAlignment="1">
      <alignment horizontal="center" vertical="top" wrapText="1"/>
    </xf>
    <xf numFmtId="165" fontId="9" fillId="30" borderId="48" xfId="197" applyNumberFormat="1" applyFont="1" applyFill="1" applyBorder="1" applyAlignment="1">
      <alignment horizontal="center" vertical="top" wrapText="1"/>
    </xf>
    <xf numFmtId="165" fontId="9" fillId="0" borderId="48" xfId="197" applyNumberFormat="1" applyFont="1" applyBorder="1" applyAlignment="1">
      <alignment horizontal="center" vertical="top" wrapText="1"/>
    </xf>
    <xf numFmtId="0" fontId="25" fillId="36" borderId="23" xfId="193" applyFont="1" applyFill="1" applyBorder="1"/>
    <xf numFmtId="3" fontId="25" fillId="36" borderId="42" xfId="193" applyNumberFormat="1" applyFont="1" applyFill="1" applyBorder="1"/>
    <xf numFmtId="3" fontId="25" fillId="36" borderId="19" xfId="193" applyNumberFormat="1" applyFont="1" applyFill="1" applyBorder="1"/>
    <xf numFmtId="165" fontId="15" fillId="0" borderId="15" xfId="197" applyNumberFormat="1" applyFont="1" applyBorder="1" applyAlignment="1">
      <alignment horizontal="center" vertical="top" wrapText="1"/>
    </xf>
    <xf numFmtId="3" fontId="9" fillId="30" borderId="124" xfId="190" applyNumberFormat="1" applyFont="1" applyFill="1" applyBorder="1" applyAlignment="1">
      <alignment horizontal="center" vertical="top" wrapText="1"/>
    </xf>
    <xf numFmtId="3" fontId="9" fillId="30" borderId="39" xfId="190" applyNumberFormat="1" applyFont="1" applyFill="1" applyBorder="1" applyAlignment="1">
      <alignment horizontal="center" vertical="top" wrapText="1"/>
    </xf>
    <xf numFmtId="3" fontId="9" fillId="30" borderId="19" xfId="190" applyNumberFormat="1" applyFont="1" applyFill="1" applyBorder="1" applyAlignment="1">
      <alignment horizontal="center" vertical="top" wrapText="1"/>
    </xf>
    <xf numFmtId="3" fontId="9" fillId="30" borderId="18" xfId="190" applyNumberFormat="1" applyFont="1" applyFill="1" applyBorder="1" applyAlignment="1">
      <alignment horizontal="center" vertical="top" wrapText="1"/>
    </xf>
    <xf numFmtId="3" fontId="9" fillId="30" borderId="23" xfId="190" applyNumberFormat="1" applyFont="1" applyFill="1" applyBorder="1" applyAlignment="1">
      <alignment horizontal="center" vertical="top" wrapText="1"/>
    </xf>
    <xf numFmtId="0" fontId="9" fillId="0" borderId="0" xfId="190" applyFont="1" applyBorder="1" applyAlignment="1">
      <alignment horizontal="left" vertical="top" wrapText="1"/>
    </xf>
    <xf numFmtId="3" fontId="9" fillId="0" borderId="0" xfId="190" applyNumberFormat="1" applyFont="1" applyBorder="1" applyAlignment="1">
      <alignment horizontal="left" vertical="top" wrapText="1"/>
    </xf>
    <xf numFmtId="3" fontId="15" fillId="0" borderId="119" xfId="190" applyNumberFormat="1" applyFont="1" applyBorder="1" applyAlignment="1">
      <alignment horizontal="center" vertical="top" wrapText="1"/>
    </xf>
    <xf numFmtId="3" fontId="44" fillId="0" borderId="0" xfId="193" applyNumberFormat="1" applyFont="1"/>
    <xf numFmtId="3" fontId="15" fillId="0" borderId="30" xfId="190" applyNumberFormat="1" applyFont="1" applyBorder="1" applyAlignment="1">
      <alignment horizontal="center" vertical="top" wrapText="1"/>
    </xf>
    <xf numFmtId="165" fontId="15" fillId="0" borderId="40" xfId="194" applyNumberFormat="1" applyFont="1" applyBorder="1" applyAlignment="1">
      <alignment horizontal="center" vertical="top" wrapText="1"/>
    </xf>
    <xf numFmtId="165" fontId="15" fillId="0" borderId="15" xfId="194" applyNumberFormat="1" applyFont="1" applyBorder="1" applyAlignment="1">
      <alignment horizontal="center" vertical="top" wrapText="1"/>
    </xf>
    <xf numFmtId="165" fontId="15" fillId="0" borderId="113" xfId="194" applyNumberFormat="1" applyFont="1" applyBorder="1" applyAlignment="1">
      <alignment horizontal="center" vertical="top" wrapText="1"/>
    </xf>
    <xf numFmtId="165" fontId="9" fillId="0" borderId="18" xfId="0" applyNumberFormat="1" applyFont="1" applyFill="1" applyBorder="1" applyAlignment="1">
      <alignment horizontal="center" vertical="top" wrapText="1"/>
    </xf>
    <xf numFmtId="165" fontId="9" fillId="0" borderId="18" xfId="75" applyNumberFormat="1" applyFont="1" applyFill="1" applyBorder="1" applyAlignment="1">
      <alignment vertical="top" wrapText="1"/>
    </xf>
    <xf numFmtId="165" fontId="9" fillId="0" borderId="18" xfId="0" applyNumberFormat="1" applyFont="1" applyFill="1" applyBorder="1" applyAlignment="1">
      <alignment vertical="top" wrapText="1"/>
    </xf>
    <xf numFmtId="17" fontId="0" fillId="0" borderId="0" xfId="0" applyNumberFormat="1"/>
    <xf numFmtId="3" fontId="11" fillId="0" borderId="0" xfId="0" applyNumberFormat="1" applyFont="1" applyFill="1" applyBorder="1" applyAlignment="1">
      <alignment horizontal="center" vertical="top" wrapText="1"/>
    </xf>
    <xf numFmtId="3" fontId="11" fillId="0" borderId="2" xfId="0" applyNumberFormat="1" applyFont="1" applyFill="1" applyBorder="1" applyAlignment="1">
      <alignment horizontal="center" vertical="top" wrapText="1"/>
    </xf>
    <xf numFmtId="3" fontId="11" fillId="0" borderId="121" xfId="0" applyNumberFormat="1" applyFont="1" applyFill="1" applyBorder="1" applyAlignment="1">
      <alignment horizontal="center" vertical="top" wrapText="1"/>
    </xf>
    <xf numFmtId="0" fontId="52" fillId="0" borderId="135" xfId="0" applyFont="1" applyFill="1" applyBorder="1" applyAlignment="1">
      <alignment horizontal="right" vertical="center" wrapText="1"/>
    </xf>
    <xf numFmtId="0" fontId="52" fillId="0" borderId="136" xfId="0" applyFont="1" applyFill="1" applyBorder="1" applyAlignment="1">
      <alignment horizontal="right" vertical="center" wrapText="1"/>
    </xf>
    <xf numFmtId="0" fontId="52" fillId="0" borderId="137" xfId="0" applyFont="1" applyFill="1" applyBorder="1" applyAlignment="1">
      <alignment horizontal="right" vertical="center" wrapText="1"/>
    </xf>
    <xf numFmtId="0" fontId="52" fillId="0" borderId="138" xfId="0" applyFont="1" applyFill="1" applyBorder="1" applyAlignment="1">
      <alignment horizontal="right" vertical="center" wrapText="1"/>
    </xf>
    <xf numFmtId="3" fontId="52" fillId="0" borderId="138" xfId="0" applyNumberFormat="1" applyFont="1" applyFill="1" applyBorder="1" applyAlignment="1">
      <alignment horizontal="right" vertical="center" wrapText="1"/>
    </xf>
    <xf numFmtId="0" fontId="71" fillId="0" borderId="137" xfId="0" applyFont="1" applyFill="1" applyBorder="1" applyAlignment="1">
      <alignment horizontal="right" vertical="center" wrapText="1"/>
    </xf>
    <xf numFmtId="3" fontId="71" fillId="0" borderId="138" xfId="0" applyNumberFormat="1" applyFont="1" applyFill="1" applyBorder="1" applyAlignment="1">
      <alignment horizontal="right" vertical="center" wrapText="1"/>
    </xf>
    <xf numFmtId="0" fontId="71" fillId="0" borderId="138" xfId="0" applyFont="1" applyFill="1" applyBorder="1" applyAlignment="1">
      <alignment horizontal="right" vertical="center" wrapText="1"/>
    </xf>
    <xf numFmtId="3" fontId="11" fillId="0" borderId="19" xfId="0" applyNumberFormat="1" applyFont="1" applyFill="1" applyBorder="1" applyAlignment="1">
      <alignment horizontal="center" vertical="top" wrapText="1"/>
    </xf>
    <xf numFmtId="3" fontId="11" fillId="0" borderId="18" xfId="0" applyNumberFormat="1" applyFont="1" applyFill="1" applyBorder="1" applyAlignment="1">
      <alignment horizontal="center" vertical="top" wrapText="1"/>
    </xf>
    <xf numFmtId="3" fontId="11" fillId="0" borderId="29" xfId="0" applyNumberFormat="1" applyFont="1" applyFill="1" applyBorder="1" applyAlignment="1">
      <alignment horizontal="center" vertical="top" wrapText="1"/>
    </xf>
    <xf numFmtId="3" fontId="11" fillId="0" borderId="40" xfId="0" applyNumberFormat="1" applyFont="1" applyFill="1" applyBorder="1" applyAlignment="1">
      <alignment horizontal="center" vertical="top" wrapText="1"/>
    </xf>
    <xf numFmtId="3" fontId="11" fillId="0" borderId="5" xfId="0" applyNumberFormat="1" applyFont="1" applyFill="1" applyBorder="1" applyAlignment="1">
      <alignment horizontal="center" vertical="top" wrapText="1"/>
    </xf>
    <xf numFmtId="3" fontId="11" fillId="0" borderId="4" xfId="0" applyNumberFormat="1" applyFont="1" applyFill="1" applyBorder="1" applyAlignment="1">
      <alignment horizontal="center" vertical="top" wrapText="1"/>
    </xf>
    <xf numFmtId="3" fontId="11" fillId="0" borderId="28" xfId="0" applyNumberFormat="1" applyFont="1" applyFill="1" applyBorder="1" applyAlignment="1">
      <alignment horizontal="center" vertical="top" wrapText="1"/>
    </xf>
    <xf numFmtId="3" fontId="11" fillId="0" borderId="6" xfId="0" applyNumberFormat="1" applyFont="1" applyFill="1" applyBorder="1" applyAlignment="1">
      <alignment horizontal="center" vertical="top" wrapText="1"/>
    </xf>
    <xf numFmtId="3" fontId="11" fillId="0" borderId="134" xfId="0" applyNumberFormat="1" applyFont="1" applyFill="1" applyBorder="1" applyAlignment="1">
      <alignment horizontal="center" vertical="top" wrapText="1"/>
    </xf>
    <xf numFmtId="0" fontId="56" fillId="0" borderId="102" xfId="0" applyFont="1" applyBorder="1" applyAlignment="1">
      <alignment horizontal="center" vertical="top" wrapText="1"/>
    </xf>
    <xf numFmtId="0" fontId="56" fillId="0" borderId="103" xfId="0" applyFont="1" applyBorder="1" applyAlignment="1">
      <alignment horizontal="center" vertical="top" wrapText="1"/>
    </xf>
    <xf numFmtId="0" fontId="56" fillId="0" borderId="0" xfId="0" applyFont="1" applyBorder="1" applyAlignment="1">
      <alignment horizontal="center" vertical="top" wrapText="1"/>
    </xf>
    <xf numFmtId="0" fontId="56" fillId="0" borderId="2" xfId="0" applyFont="1" applyBorder="1" applyAlignment="1">
      <alignment horizontal="center" vertical="top" wrapText="1"/>
    </xf>
    <xf numFmtId="170" fontId="9" fillId="0" borderId="0" xfId="0" applyNumberFormat="1" applyFont="1" applyBorder="1" applyAlignment="1">
      <alignment horizontal="center" vertical="top" wrapText="1"/>
    </xf>
    <xf numFmtId="170" fontId="9" fillId="0" borderId="2" xfId="0" applyNumberFormat="1" applyFont="1" applyBorder="1" applyAlignment="1">
      <alignment horizontal="center" vertical="top" wrapText="1"/>
    </xf>
    <xf numFmtId="170" fontId="9" fillId="0" borderId="8" xfId="0" applyNumberFormat="1" applyFont="1" applyBorder="1" applyAlignment="1">
      <alignment horizontal="center" vertical="top" wrapText="1"/>
    </xf>
    <xf numFmtId="170" fontId="9" fillId="0" borderId="9" xfId="0" applyNumberFormat="1" applyFont="1" applyBorder="1" applyAlignment="1">
      <alignment horizontal="center" vertical="top" wrapText="1"/>
    </xf>
    <xf numFmtId="170" fontId="9" fillId="0" borderId="0" xfId="0" applyNumberFormat="1" applyFont="1" applyFill="1" applyBorder="1" applyAlignment="1">
      <alignment horizontal="center" vertical="top" wrapText="1"/>
    </xf>
    <xf numFmtId="170" fontId="9" fillId="0" borderId="2" xfId="0" applyNumberFormat="1" applyFont="1" applyFill="1" applyBorder="1" applyAlignment="1">
      <alignment horizontal="center" vertical="top" wrapText="1"/>
    </xf>
    <xf numFmtId="170" fontId="9" fillId="0" borderId="8" xfId="0" applyNumberFormat="1" applyFont="1" applyFill="1" applyBorder="1" applyAlignment="1">
      <alignment horizontal="center" vertical="top" wrapText="1"/>
    </xf>
    <xf numFmtId="170" fontId="9" fillId="0" borderId="9" xfId="0" applyNumberFormat="1" applyFont="1" applyFill="1" applyBorder="1" applyAlignment="1">
      <alignment horizontal="center" vertical="top" wrapText="1"/>
    </xf>
    <xf numFmtId="168" fontId="9" fillId="0" borderId="18" xfId="0" applyNumberFormat="1" applyFont="1" applyFill="1" applyBorder="1" applyAlignment="1">
      <alignment horizontal="center" wrapText="1"/>
    </xf>
    <xf numFmtId="168" fontId="9" fillId="0" borderId="29" xfId="0" applyNumberFormat="1" applyFont="1" applyFill="1" applyBorder="1" applyAlignment="1">
      <alignment horizontal="center" wrapText="1"/>
    </xf>
    <xf numFmtId="0" fontId="9" fillId="0" borderId="18" xfId="0" applyFont="1" applyBorder="1" applyAlignment="1">
      <alignment horizontal="center" wrapText="1"/>
    </xf>
    <xf numFmtId="0" fontId="9" fillId="0" borderId="29" xfId="0" applyFont="1" applyBorder="1" applyAlignment="1">
      <alignment horizontal="center" wrapText="1"/>
    </xf>
    <xf numFmtId="168" fontId="9" fillId="0" borderId="18" xfId="0" applyNumberFormat="1" applyFont="1" applyBorder="1" applyAlignment="1">
      <alignment horizontal="center" wrapText="1"/>
    </xf>
    <xf numFmtId="168" fontId="9" fillId="0" borderId="29" xfId="0" applyNumberFormat="1" applyFont="1" applyBorder="1" applyAlignment="1">
      <alignment horizontal="center" wrapText="1"/>
    </xf>
    <xf numFmtId="168" fontId="9" fillId="0" borderId="21" xfId="0" applyNumberFormat="1" applyFont="1" applyBorder="1" applyAlignment="1">
      <alignment horizontal="center" wrapText="1"/>
    </xf>
    <xf numFmtId="168" fontId="9" fillId="0" borderId="91" xfId="0" applyNumberFormat="1" applyFont="1" applyBorder="1" applyAlignment="1">
      <alignment horizontal="center" wrapText="1"/>
    </xf>
    <xf numFmtId="170" fontId="9" fillId="0" borderId="0" xfId="0" applyNumberFormat="1" applyFont="1" applyFill="1" applyBorder="1" applyAlignment="1">
      <alignment horizontal="right" vertical="center" wrapText="1"/>
    </xf>
    <xf numFmtId="170" fontId="9" fillId="0" borderId="2" xfId="0" applyNumberFormat="1" applyFont="1" applyFill="1" applyBorder="1" applyAlignment="1">
      <alignment horizontal="right" vertical="center" wrapText="1"/>
    </xf>
    <xf numFmtId="0" fontId="15" fillId="0" borderId="102" xfId="0" applyFont="1" applyFill="1" applyBorder="1" applyAlignment="1">
      <alignment horizontal="center"/>
    </xf>
    <xf numFmtId="0" fontId="15" fillId="0" borderId="103" xfId="0" applyFont="1" applyFill="1" applyBorder="1" applyAlignment="1">
      <alignment horizontal="center"/>
    </xf>
    <xf numFmtId="0" fontId="15" fillId="0" borderId="0" xfId="0" applyFont="1" applyFill="1" applyBorder="1" applyAlignment="1">
      <alignment horizontal="center"/>
    </xf>
    <xf numFmtId="168" fontId="0" fillId="0" borderId="0" xfId="0" applyNumberFormat="1" applyFill="1" applyBorder="1" applyAlignment="1">
      <alignment horizontal="center"/>
    </xf>
    <xf numFmtId="168" fontId="0" fillId="0" borderId="2" xfId="0" applyNumberFormat="1" applyFill="1" applyBorder="1" applyAlignment="1">
      <alignment horizontal="center"/>
    </xf>
    <xf numFmtId="168" fontId="0" fillId="0" borderId="0" xfId="0" applyNumberFormat="1" applyBorder="1" applyAlignment="1">
      <alignment horizontal="center"/>
    </xf>
    <xf numFmtId="168" fontId="0" fillId="0" borderId="2" xfId="0" applyNumberFormat="1" applyBorder="1" applyAlignment="1">
      <alignment horizontal="center"/>
    </xf>
    <xf numFmtId="168" fontId="0" fillId="0" borderId="121" xfId="0" applyNumberFormat="1" applyBorder="1" applyAlignment="1">
      <alignment horizontal="center"/>
    </xf>
    <xf numFmtId="168" fontId="0" fillId="0" borderId="134" xfId="0" applyNumberFormat="1" applyBorder="1" applyAlignment="1">
      <alignment horizontal="center"/>
    </xf>
    <xf numFmtId="0" fontId="15" fillId="0" borderId="102" xfId="0" applyFont="1" applyFill="1" applyBorder="1" applyAlignment="1">
      <alignment horizontal="center"/>
    </xf>
    <xf numFmtId="0" fontId="15" fillId="0" borderId="103" xfId="0" applyFont="1" applyFill="1" applyBorder="1" applyAlignment="1">
      <alignment horizontal="center"/>
    </xf>
    <xf numFmtId="168" fontId="0" fillId="0" borderId="0" xfId="0" applyNumberFormat="1" applyAlignment="1">
      <alignment horizontal="center"/>
    </xf>
    <xf numFmtId="0" fontId="0" fillId="0" borderId="0" xfId="0" applyFill="1" applyAlignment="1">
      <alignment horizontal="center"/>
    </xf>
    <xf numFmtId="0" fontId="0" fillId="0" borderId="2" xfId="0" applyFill="1" applyBorder="1" applyAlignment="1">
      <alignment horizontal="center"/>
    </xf>
    <xf numFmtId="0" fontId="9" fillId="0" borderId="0" xfId="0" applyFont="1" applyFill="1" applyBorder="1"/>
    <xf numFmtId="0" fontId="9" fillId="0" borderId="7" xfId="0" applyFont="1" applyFill="1" applyBorder="1"/>
    <xf numFmtId="0" fontId="0" fillId="0" borderId="0" xfId="0" applyBorder="1" applyAlignment="1">
      <alignment horizontal="center"/>
    </xf>
    <xf numFmtId="0" fontId="0" fillId="0" borderId="2" xfId="0" applyBorder="1" applyAlignment="1">
      <alignment horizontal="center"/>
    </xf>
    <xf numFmtId="0" fontId="0" fillId="0" borderId="0" xfId="0" applyFill="1" applyBorder="1" applyAlignment="1">
      <alignment horizontal="center"/>
    </xf>
    <xf numFmtId="168" fontId="0" fillId="0" borderId="0" xfId="0" applyNumberFormat="1" applyFill="1" applyBorder="1" applyAlignment="1">
      <alignment horizontal="center"/>
    </xf>
    <xf numFmtId="168" fontId="0" fillId="0" borderId="2" xfId="0" applyNumberFormat="1" applyFill="1" applyBorder="1" applyAlignment="1">
      <alignment horizontal="center"/>
    </xf>
    <xf numFmtId="168" fontId="0" fillId="0" borderId="0" xfId="0" applyNumberFormat="1" applyBorder="1" applyAlignment="1">
      <alignment horizontal="center"/>
    </xf>
    <xf numFmtId="168" fontId="0" fillId="0" borderId="2" xfId="0" applyNumberFormat="1" applyBorder="1" applyAlignment="1">
      <alignment horizontal="center"/>
    </xf>
    <xf numFmtId="168" fontId="0" fillId="0" borderId="0" xfId="0" applyNumberFormat="1" applyAlignment="1">
      <alignment horizontal="center" vertical="center"/>
    </xf>
    <xf numFmtId="0" fontId="9" fillId="0" borderId="1" xfId="0" applyFont="1" applyBorder="1" applyAlignment="1">
      <alignment horizontal="center" vertical="top" wrapText="1"/>
    </xf>
    <xf numFmtId="0" fontId="9" fillId="0" borderId="104" xfId="0" applyFont="1" applyBorder="1" applyAlignment="1">
      <alignment vertical="top" wrapText="1"/>
    </xf>
    <xf numFmtId="0" fontId="9" fillId="0" borderId="1" xfId="0" applyFont="1" applyBorder="1" applyAlignment="1">
      <alignment vertical="top" wrapText="1"/>
    </xf>
    <xf numFmtId="0" fontId="9" fillId="0" borderId="110" xfId="0" applyFont="1" applyBorder="1" applyAlignment="1">
      <alignment vertical="top" wrapText="1"/>
    </xf>
    <xf numFmtId="0" fontId="11" fillId="0" borderId="89" xfId="0" applyFont="1" applyBorder="1" applyAlignment="1">
      <alignment horizontal="center" vertical="top"/>
    </xf>
    <xf numFmtId="0" fontId="11" fillId="0" borderId="90" xfId="0" applyFont="1" applyBorder="1" applyAlignment="1">
      <alignment horizontal="center" vertical="top"/>
    </xf>
    <xf numFmtId="0" fontId="9" fillId="0" borderId="107" xfId="0" applyFont="1" applyFill="1" applyBorder="1" applyAlignment="1">
      <alignment horizontal="left" vertical="top"/>
    </xf>
    <xf numFmtId="0" fontId="9" fillId="0" borderId="117" xfId="0" applyFont="1" applyFill="1" applyBorder="1" applyAlignment="1">
      <alignment horizontal="left" vertical="top"/>
    </xf>
    <xf numFmtId="3" fontId="9" fillId="0" borderId="117" xfId="0" applyNumberFormat="1" applyFont="1" applyFill="1" applyBorder="1" applyAlignment="1">
      <alignment horizontal="center" vertical="top" wrapText="1"/>
    </xf>
    <xf numFmtId="3" fontId="9" fillId="0" borderId="115" xfId="0" applyNumberFormat="1" applyFont="1" applyFill="1" applyBorder="1" applyAlignment="1">
      <alignment horizontal="center" vertical="top" wrapText="1"/>
    </xf>
    <xf numFmtId="0" fontId="9" fillId="0" borderId="7" xfId="0" applyFont="1" applyBorder="1" applyAlignment="1">
      <alignment horizontal="left" vertical="top"/>
    </xf>
    <xf numFmtId="0" fontId="9" fillId="0" borderId="0" xfId="0" applyFont="1" applyBorder="1" applyAlignment="1">
      <alignment horizontal="left" vertical="top"/>
    </xf>
    <xf numFmtId="3"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7" xfId="0" applyFont="1" applyFill="1" applyBorder="1" applyAlignment="1">
      <alignment horizontal="left" vertical="top"/>
    </xf>
    <xf numFmtId="0" fontId="9" fillId="0" borderId="0" xfId="0" applyFont="1" applyFill="1" applyBorder="1" applyAlignment="1">
      <alignment horizontal="left" vertical="top"/>
    </xf>
    <xf numFmtId="3" fontId="9" fillId="0" borderId="0" xfId="0" applyNumberFormat="1" applyFont="1" applyFill="1" applyBorder="1" applyAlignment="1">
      <alignment horizontal="center" vertical="top" wrapText="1"/>
    </xf>
    <xf numFmtId="3" fontId="9" fillId="0" borderId="2" xfId="0" applyNumberFormat="1" applyFont="1" applyFill="1" applyBorder="1" applyAlignment="1">
      <alignment horizontal="center" vertical="top" wrapText="1"/>
    </xf>
    <xf numFmtId="3" fontId="9" fillId="0" borderId="0" xfId="0" applyNumberFormat="1" applyFont="1" applyBorder="1" applyAlignment="1">
      <alignment horizontal="center" vertical="top" wrapText="1"/>
    </xf>
    <xf numFmtId="3" fontId="9" fillId="0" borderId="2" xfId="0" applyNumberFormat="1" applyFont="1" applyBorder="1" applyAlignment="1">
      <alignment horizontal="center" vertical="top" wrapText="1"/>
    </xf>
    <xf numFmtId="0" fontId="15" fillId="0" borderId="103" xfId="0" applyFont="1" applyBorder="1" applyAlignment="1">
      <alignment horizontal="center" vertical="top" wrapText="1"/>
    </xf>
    <xf numFmtId="0" fontId="15" fillId="0" borderId="2" xfId="0" applyFont="1" applyBorder="1" applyAlignment="1">
      <alignment horizontal="center" vertical="top" wrapText="1"/>
    </xf>
    <xf numFmtId="0" fontId="15" fillId="0" borderId="109" xfId="0" applyFont="1" applyBorder="1" applyAlignment="1">
      <alignment horizontal="center" vertical="top" wrapText="1"/>
    </xf>
    <xf numFmtId="0" fontId="9" fillId="17" borderId="102" xfId="0" applyFont="1" applyFill="1" applyBorder="1" applyAlignment="1">
      <alignment horizontal="left" vertical="top" wrapText="1"/>
    </xf>
    <xf numFmtId="0" fontId="9" fillId="17" borderId="103" xfId="0" applyFont="1" applyFill="1" applyBorder="1" applyAlignment="1">
      <alignment horizontal="left" vertical="top" wrapText="1"/>
    </xf>
    <xf numFmtId="0" fontId="9" fillId="17" borderId="0" xfId="0" applyFont="1" applyFill="1" applyBorder="1" applyAlignment="1">
      <alignment horizontal="left" vertical="top" wrapText="1"/>
    </xf>
    <xf numFmtId="0" fontId="9" fillId="17" borderId="2" xfId="0" applyFont="1" applyFill="1" applyBorder="1" applyAlignment="1">
      <alignment horizontal="left" vertical="top" wrapText="1"/>
    </xf>
    <xf numFmtId="0" fontId="9" fillId="17" borderId="107" xfId="0" applyFont="1" applyFill="1" applyBorder="1" applyAlignment="1">
      <alignment horizontal="left" vertical="top"/>
    </xf>
    <xf numFmtId="0" fontId="9" fillId="17" borderId="108" xfId="0" applyFont="1" applyFill="1" applyBorder="1" applyAlignment="1">
      <alignment horizontal="left" vertical="top"/>
    </xf>
    <xf numFmtId="0" fontId="9" fillId="17" borderId="108" xfId="0" applyFont="1" applyFill="1" applyBorder="1" applyAlignment="1">
      <alignment horizontal="left" vertical="top" wrapText="1"/>
    </xf>
    <xf numFmtId="0" fontId="9" fillId="0" borderId="107" xfId="0" applyFont="1" applyBorder="1" applyAlignment="1">
      <alignment horizontal="left" vertical="top"/>
    </xf>
    <xf numFmtId="0" fontId="9" fillId="0" borderId="108" xfId="0" applyFont="1" applyBorder="1" applyAlignment="1">
      <alignment horizontal="left" vertical="top"/>
    </xf>
    <xf numFmtId="3" fontId="9" fillId="0" borderId="117" xfId="0" applyNumberFormat="1" applyFont="1" applyBorder="1" applyAlignment="1">
      <alignment horizontal="center" vertical="top" wrapText="1"/>
    </xf>
    <xf numFmtId="3" fontId="9" fillId="0" borderId="115" xfId="0" applyNumberFormat="1" applyFont="1" applyBorder="1" applyAlignment="1">
      <alignment horizontal="center" vertical="top" wrapText="1"/>
    </xf>
    <xf numFmtId="3" fontId="11" fillId="0" borderId="7" xfId="0" applyNumberFormat="1" applyFont="1" applyBorder="1" applyAlignment="1">
      <alignment horizontal="left" vertical="top" wrapText="1"/>
    </xf>
    <xf numFmtId="3" fontId="11" fillId="0" borderId="0" xfId="0" applyNumberFormat="1" applyFont="1" applyBorder="1" applyAlignment="1">
      <alignment horizontal="left" vertical="top" wrapText="1"/>
    </xf>
    <xf numFmtId="0" fontId="9" fillId="0" borderId="104" xfId="77" applyNumberFormat="1" applyFont="1" applyBorder="1" applyAlignment="1">
      <alignment horizontal="left" vertical="top" wrapText="1"/>
    </xf>
    <xf numFmtId="0" fontId="9" fillId="0" borderId="1" xfId="77" applyNumberFormat="1" applyFont="1" applyBorder="1" applyAlignment="1">
      <alignment horizontal="left" vertical="top" wrapText="1"/>
    </xf>
    <xf numFmtId="0" fontId="9" fillId="0" borderId="110" xfId="77" applyNumberFormat="1" applyFont="1" applyBorder="1" applyAlignment="1">
      <alignment horizontal="left" vertical="top" wrapText="1"/>
    </xf>
    <xf numFmtId="3" fontId="11" fillId="0" borderId="0" xfId="0" applyNumberFormat="1" applyFont="1" applyBorder="1" applyAlignment="1">
      <alignment horizontal="center" vertical="top" wrapText="1"/>
    </xf>
    <xf numFmtId="3" fontId="11" fillId="0" borderId="2" xfId="0" applyNumberFormat="1" applyFont="1" applyBorder="1" applyAlignment="1">
      <alignment horizontal="center" vertical="top" wrapText="1"/>
    </xf>
    <xf numFmtId="0" fontId="15" fillId="4" borderId="88" xfId="0" applyFont="1" applyFill="1" applyBorder="1" applyAlignment="1">
      <alignment vertical="top" wrapText="1"/>
    </xf>
    <xf numFmtId="0" fontId="15" fillId="4" borderId="89" xfId="0" applyFont="1" applyFill="1" applyBorder="1" applyAlignment="1">
      <alignment vertical="top" wrapText="1"/>
    </xf>
    <xf numFmtId="0" fontId="15" fillId="4" borderId="90" xfId="0" applyFont="1" applyFill="1" applyBorder="1" applyAlignment="1">
      <alignment vertical="top" wrapText="1"/>
    </xf>
    <xf numFmtId="0" fontId="15" fillId="4" borderId="88" xfId="0" applyFont="1" applyFill="1" applyBorder="1" applyAlignment="1">
      <alignment horizontal="left" vertical="top" wrapText="1"/>
    </xf>
    <xf numFmtId="0" fontId="15" fillId="4" borderId="89" xfId="0" applyFont="1" applyFill="1" applyBorder="1" applyAlignment="1">
      <alignment horizontal="left" vertical="top" wrapText="1"/>
    </xf>
    <xf numFmtId="0" fontId="9" fillId="0" borderId="89" xfId="0" applyFont="1" applyBorder="1" applyAlignment="1">
      <alignment vertical="top" wrapText="1"/>
    </xf>
    <xf numFmtId="0" fontId="9" fillId="0" borderId="90" xfId="0" applyFont="1" applyBorder="1" applyAlignment="1">
      <alignment vertical="top" wrapText="1"/>
    </xf>
    <xf numFmtId="9" fontId="9" fillId="0" borderId="107" xfId="0" applyNumberFormat="1" applyFont="1" applyFill="1" applyBorder="1" applyAlignment="1">
      <alignment horizontal="center" vertical="top" wrapText="1"/>
    </xf>
    <xf numFmtId="0" fontId="9" fillId="0" borderId="108" xfId="0" applyFont="1" applyFill="1" applyBorder="1" applyAlignment="1">
      <alignment horizontal="center" vertical="top" wrapText="1"/>
    </xf>
    <xf numFmtId="0" fontId="9" fillId="0" borderId="109" xfId="0" applyFont="1" applyFill="1" applyBorder="1" applyAlignment="1">
      <alignment horizontal="center" vertical="top" wrapText="1"/>
    </xf>
    <xf numFmtId="9" fontId="9" fillId="0" borderId="102" xfId="0" applyNumberFormat="1" applyFont="1" applyBorder="1" applyAlignment="1">
      <alignment horizontal="center" vertical="top" wrapText="1"/>
    </xf>
    <xf numFmtId="0" fontId="9" fillId="0" borderId="102" xfId="0" applyFont="1" applyBorder="1" applyAlignment="1">
      <alignment horizontal="center"/>
    </xf>
    <xf numFmtId="0" fontId="9" fillId="0" borderId="103" xfId="0" applyFont="1" applyBorder="1" applyAlignment="1">
      <alignment horizontal="center"/>
    </xf>
    <xf numFmtId="9" fontId="9" fillId="0" borderId="88" xfId="0" applyNumberFormat="1" applyFont="1" applyFill="1" applyBorder="1" applyAlignment="1">
      <alignment horizontal="center" vertical="top" wrapText="1"/>
    </xf>
    <xf numFmtId="0" fontId="9" fillId="0" borderId="89" xfId="0" applyFont="1" applyFill="1" applyBorder="1" applyAlignment="1">
      <alignment horizontal="center" vertical="top" wrapText="1"/>
    </xf>
    <xf numFmtId="0" fontId="9" fillId="0" borderId="90" xfId="0" applyFont="1" applyFill="1" applyBorder="1" applyAlignment="1">
      <alignment horizontal="center" vertical="top" wrapText="1"/>
    </xf>
    <xf numFmtId="0" fontId="11" fillId="0" borderId="88" xfId="0" applyFont="1" applyBorder="1" applyAlignment="1">
      <alignment horizontal="center" vertical="top" wrapText="1"/>
    </xf>
    <xf numFmtId="0" fontId="11" fillId="0" borderId="89" xfId="0" applyFont="1" applyBorder="1" applyAlignment="1">
      <alignment horizontal="center" vertical="top" wrapText="1"/>
    </xf>
    <xf numFmtId="0" fontId="11" fillId="0" borderId="90" xfId="0" applyFont="1" applyBorder="1" applyAlignment="1">
      <alignment horizontal="center" vertical="top" wrapText="1"/>
    </xf>
    <xf numFmtId="9" fontId="9" fillId="0" borderId="108" xfId="0" applyNumberFormat="1" applyFont="1" applyBorder="1" applyAlignment="1">
      <alignment horizontal="left" vertical="top" wrapText="1"/>
    </xf>
    <xf numFmtId="0" fontId="9" fillId="0" borderId="108" xfId="0" applyFont="1" applyBorder="1" applyAlignment="1">
      <alignment horizontal="left" vertical="top" wrapText="1"/>
    </xf>
    <xf numFmtId="0" fontId="9" fillId="0" borderId="109" xfId="0" applyFont="1" applyBorder="1" applyAlignment="1">
      <alignment horizontal="left" vertical="top" wrapText="1"/>
    </xf>
    <xf numFmtId="9" fontId="9" fillId="0" borderId="101" xfId="0" applyNumberFormat="1" applyFont="1" applyBorder="1" applyAlignment="1">
      <alignment horizontal="center" vertical="top" wrapText="1"/>
    </xf>
    <xf numFmtId="9" fontId="9" fillId="0" borderId="103" xfId="0" applyNumberFormat="1" applyFont="1" applyBorder="1" applyAlignment="1">
      <alignment horizontal="center" vertical="top" wrapText="1"/>
    </xf>
    <xf numFmtId="9" fontId="9" fillId="0" borderId="88" xfId="0" applyNumberFormat="1" applyFont="1" applyBorder="1" applyAlignment="1">
      <alignment horizontal="center" vertical="top" wrapText="1"/>
    </xf>
    <xf numFmtId="9" fontId="9" fillId="0" borderId="89" xfId="0" applyNumberFormat="1" applyFont="1" applyBorder="1" applyAlignment="1">
      <alignment horizontal="center" vertical="top" wrapText="1"/>
    </xf>
    <xf numFmtId="9" fontId="9" fillId="0" borderId="90" xfId="0" applyNumberFormat="1" applyFont="1" applyBorder="1" applyAlignment="1">
      <alignment horizontal="center" vertical="top" wrapText="1"/>
    </xf>
    <xf numFmtId="9" fontId="9" fillId="0" borderId="89" xfId="0" applyNumberFormat="1" applyFont="1" applyFill="1" applyBorder="1" applyAlignment="1">
      <alignment horizontal="center" vertical="top" wrapText="1"/>
    </xf>
    <xf numFmtId="9" fontId="9" fillId="0" borderId="90" xfId="0" applyNumberFormat="1" applyFont="1" applyFill="1" applyBorder="1" applyAlignment="1">
      <alignment horizontal="center" vertical="top" wrapText="1"/>
    </xf>
    <xf numFmtId="0" fontId="15" fillId="6" borderId="88" xfId="0" applyFont="1" applyFill="1" applyBorder="1" applyAlignment="1">
      <alignment horizontal="center" vertical="top" wrapText="1"/>
    </xf>
    <xf numFmtId="0" fontId="15" fillId="0" borderId="89" xfId="0" applyFont="1" applyBorder="1" applyAlignment="1">
      <alignment horizontal="center" vertical="top" wrapText="1"/>
    </xf>
    <xf numFmtId="0" fontId="15" fillId="0" borderId="90" xfId="0" applyFont="1" applyBorder="1" applyAlignment="1">
      <alignment horizontal="center" vertical="top" wrapText="1"/>
    </xf>
    <xf numFmtId="3" fontId="11" fillId="0" borderId="107" xfId="0" applyNumberFormat="1" applyFont="1" applyBorder="1" applyAlignment="1">
      <alignment horizontal="left" vertical="top" wrapText="1"/>
    </xf>
    <xf numFmtId="3" fontId="11" fillId="0" borderId="108" xfId="0" applyNumberFormat="1" applyFont="1" applyBorder="1" applyAlignment="1">
      <alignment horizontal="left" vertical="top" wrapText="1"/>
    </xf>
    <xf numFmtId="0" fontId="9" fillId="0" borderId="101" xfId="0" applyFont="1" applyBorder="1" applyAlignment="1">
      <alignment horizontal="center"/>
    </xf>
    <xf numFmtId="0" fontId="9" fillId="0" borderId="107" xfId="0" applyFont="1" applyBorder="1" applyAlignment="1">
      <alignment horizontal="center"/>
    </xf>
    <xf numFmtId="0" fontId="9" fillId="0" borderId="117" xfId="0" applyFont="1" applyBorder="1" applyAlignment="1">
      <alignment horizontal="center"/>
    </xf>
    <xf numFmtId="0" fontId="9" fillId="0" borderId="115" xfId="0" applyFont="1" applyBorder="1" applyAlignment="1">
      <alignment horizontal="center"/>
    </xf>
    <xf numFmtId="0" fontId="15" fillId="10" borderId="101" xfId="0" applyFont="1" applyFill="1" applyBorder="1" applyAlignment="1">
      <alignment vertical="top" wrapText="1"/>
    </xf>
    <xf numFmtId="0" fontId="15" fillId="10" borderId="102" xfId="0" applyFont="1" applyFill="1" applyBorder="1" applyAlignment="1">
      <alignment vertical="top" wrapText="1"/>
    </xf>
    <xf numFmtId="0" fontId="15" fillId="10" borderId="103" xfId="0" applyFont="1" applyFill="1" applyBorder="1" applyAlignment="1">
      <alignment vertical="top" wrapText="1"/>
    </xf>
    <xf numFmtId="0" fontId="15" fillId="10" borderId="107" xfId="0" applyFont="1" applyFill="1" applyBorder="1" applyAlignment="1">
      <alignment vertical="top" wrapText="1"/>
    </xf>
    <xf numFmtId="0" fontId="15" fillId="10" borderId="108" xfId="0" applyFont="1" applyFill="1" applyBorder="1" applyAlignment="1">
      <alignment vertical="top" wrapText="1"/>
    </xf>
    <xf numFmtId="0" fontId="15" fillId="10" borderId="109" xfId="0" applyFont="1" applyFill="1" applyBorder="1" applyAlignment="1">
      <alignment vertical="top" wrapText="1"/>
    </xf>
    <xf numFmtId="9" fontId="9" fillId="0" borderId="108" xfId="0" applyNumberFormat="1" applyFont="1" applyFill="1" applyBorder="1" applyAlignment="1">
      <alignment horizontal="left" vertical="top" wrapText="1"/>
    </xf>
    <xf numFmtId="0" fontId="9" fillId="0" borderId="108" xfId="0" applyFont="1" applyFill="1" applyBorder="1" applyAlignment="1">
      <alignment horizontal="left" vertical="top" wrapText="1"/>
    </xf>
    <xf numFmtId="0" fontId="9" fillId="0" borderId="109" xfId="0" applyFont="1" applyFill="1" applyBorder="1" applyAlignment="1">
      <alignment horizontal="left" vertical="top" wrapText="1"/>
    </xf>
    <xf numFmtId="0" fontId="9" fillId="0" borderId="1" xfId="0" applyFont="1" applyBorder="1" applyAlignment="1">
      <alignment horizontal="left" vertical="top" wrapText="1"/>
    </xf>
    <xf numFmtId="0" fontId="15" fillId="0" borderId="88" xfId="0" applyFont="1" applyBorder="1" applyAlignment="1">
      <alignment horizontal="center" vertical="top" wrapText="1"/>
    </xf>
    <xf numFmtId="9" fontId="9" fillId="0" borderId="102" xfId="0" applyNumberFormat="1" applyFont="1" applyFill="1" applyBorder="1" applyAlignment="1">
      <alignment horizontal="left" vertical="top" wrapText="1"/>
    </xf>
    <xf numFmtId="0" fontId="9" fillId="0" borderId="102" xfId="0" applyFont="1" applyFill="1" applyBorder="1" applyAlignment="1">
      <alignment horizontal="left" vertical="top" wrapText="1"/>
    </xf>
    <xf numFmtId="0" fontId="9" fillId="0" borderId="103" xfId="0" applyFont="1" applyFill="1" applyBorder="1" applyAlignment="1">
      <alignment horizontal="left" vertical="top" wrapText="1"/>
    </xf>
    <xf numFmtId="3" fontId="9" fillId="0" borderId="7" xfId="0" applyNumberFormat="1" applyFont="1" applyBorder="1" applyAlignment="1">
      <alignment horizontal="center" vertical="top" wrapText="1"/>
    </xf>
    <xf numFmtId="3" fontId="11" fillId="0" borderId="7" xfId="0" applyNumberFormat="1" applyFont="1" applyBorder="1" applyAlignment="1">
      <alignment horizontal="center" vertical="top" wrapText="1"/>
    </xf>
    <xf numFmtId="0" fontId="15" fillId="0" borderId="101" xfId="0" applyFont="1" applyFill="1" applyBorder="1" applyAlignment="1">
      <alignment horizontal="center" vertical="top" wrapText="1"/>
    </xf>
    <xf numFmtId="0" fontId="15" fillId="0" borderId="102" xfId="0" applyFont="1" applyFill="1" applyBorder="1" applyAlignment="1">
      <alignment horizontal="center" vertical="top" wrapText="1"/>
    </xf>
    <xf numFmtId="0" fontId="15" fillId="0" borderId="103" xfId="0" applyFont="1" applyFill="1" applyBorder="1" applyAlignment="1">
      <alignment horizontal="center" vertical="top" wrapText="1"/>
    </xf>
    <xf numFmtId="0" fontId="15" fillId="0" borderId="107" xfId="0" applyFont="1" applyFill="1" applyBorder="1" applyAlignment="1">
      <alignment horizontal="center" vertical="top" wrapText="1"/>
    </xf>
    <xf numFmtId="0" fontId="15" fillId="0" borderId="108" xfId="0" applyFont="1" applyFill="1" applyBorder="1" applyAlignment="1">
      <alignment horizontal="center" vertical="top" wrapText="1"/>
    </xf>
    <xf numFmtId="0" fontId="15" fillId="0" borderId="109" xfId="0" applyFont="1" applyFill="1" applyBorder="1" applyAlignment="1">
      <alignment horizontal="center" vertical="top" wrapText="1"/>
    </xf>
    <xf numFmtId="3" fontId="11" fillId="0" borderId="109" xfId="0" applyNumberFormat="1" applyFont="1" applyBorder="1" applyAlignment="1">
      <alignment horizontal="left" vertical="top" wrapText="1"/>
    </xf>
    <xf numFmtId="3" fontId="11" fillId="0" borderId="7" xfId="0" applyNumberFormat="1" applyFont="1" applyFill="1" applyBorder="1" applyAlignment="1">
      <alignment horizontal="center" vertical="top" wrapText="1"/>
    </xf>
    <xf numFmtId="3" fontId="11" fillId="0" borderId="0" xfId="0" applyNumberFormat="1" applyFont="1" applyFill="1" applyBorder="1" applyAlignment="1">
      <alignment horizontal="center" vertical="top" wrapText="1"/>
    </xf>
    <xf numFmtId="3" fontId="11" fillId="0" borderId="2" xfId="0" applyNumberFormat="1" applyFont="1" applyFill="1" applyBorder="1" applyAlignment="1">
      <alignment horizontal="center" vertical="top" wrapText="1"/>
    </xf>
    <xf numFmtId="0" fontId="15" fillId="6" borderId="88" xfId="0" applyFont="1" applyFill="1" applyBorder="1" applyAlignment="1">
      <alignment horizontal="left" vertical="top" wrapText="1"/>
    </xf>
    <xf numFmtId="0" fontId="15" fillId="6" borderId="89" xfId="0" applyFont="1" applyFill="1" applyBorder="1" applyAlignment="1">
      <alignment horizontal="left" vertical="top" wrapText="1"/>
    </xf>
    <xf numFmtId="0" fontId="15" fillId="6" borderId="90" xfId="0" applyFont="1" applyFill="1" applyBorder="1" applyAlignment="1">
      <alignment horizontal="left" vertical="top" wrapText="1"/>
    </xf>
    <xf numFmtId="3" fontId="11" fillId="17" borderId="7" xfId="0" applyNumberFormat="1" applyFont="1" applyFill="1" applyBorder="1" applyAlignment="1">
      <alignment horizontal="left" vertical="top" wrapText="1"/>
    </xf>
    <xf numFmtId="3" fontId="11" fillId="17" borderId="0" xfId="0" applyNumberFormat="1" applyFont="1" applyFill="1" applyBorder="1" applyAlignment="1">
      <alignment horizontal="left" vertical="top" wrapText="1"/>
    </xf>
    <xf numFmtId="0" fontId="15" fillId="4" borderId="90" xfId="0" applyFont="1" applyFill="1" applyBorder="1" applyAlignment="1">
      <alignment horizontal="left" vertical="top" wrapText="1"/>
    </xf>
    <xf numFmtId="3" fontId="9" fillId="0" borderId="0" xfId="0" applyNumberFormat="1" applyFont="1" applyBorder="1" applyAlignment="1">
      <alignment horizontal="left" vertical="top" wrapText="1"/>
    </xf>
    <xf numFmtId="3" fontId="11" fillId="0" borderId="2" xfId="0" applyNumberFormat="1" applyFont="1" applyBorder="1" applyAlignment="1">
      <alignment horizontal="left" vertical="top" wrapText="1"/>
    </xf>
    <xf numFmtId="3" fontId="11" fillId="17" borderId="0" xfId="0" applyNumberFormat="1" applyFont="1" applyFill="1" applyBorder="1" applyAlignment="1">
      <alignment horizontal="center" vertical="top" wrapText="1"/>
    </xf>
    <xf numFmtId="3" fontId="11" fillId="17" borderId="2" xfId="0" applyNumberFormat="1" applyFont="1" applyFill="1" applyBorder="1" applyAlignment="1">
      <alignment horizontal="center" vertical="top" wrapText="1"/>
    </xf>
    <xf numFmtId="3" fontId="11" fillId="17" borderId="8" xfId="0" applyNumberFormat="1" applyFont="1" applyFill="1" applyBorder="1" applyAlignment="1">
      <alignment horizontal="center" vertical="top" wrapText="1"/>
    </xf>
    <xf numFmtId="3" fontId="11" fillId="17" borderId="9" xfId="0" applyNumberFormat="1" applyFont="1" applyFill="1" applyBorder="1" applyAlignment="1">
      <alignment horizontal="center" vertical="top" wrapText="1"/>
    </xf>
    <xf numFmtId="0" fontId="9" fillId="0" borderId="88" xfId="0" applyFont="1" applyBorder="1" applyAlignment="1">
      <alignment horizontal="center" vertical="top" wrapText="1"/>
    </xf>
    <xf numFmtId="0" fontId="9" fillId="0" borderId="89" xfId="0" applyFont="1" applyBorder="1" applyAlignment="1">
      <alignment horizontal="center" vertical="top" wrapText="1"/>
    </xf>
    <xf numFmtId="0" fontId="9" fillId="0" borderId="102" xfId="0" applyFont="1" applyBorder="1" applyAlignment="1">
      <alignment horizontal="center" vertical="top" wrapText="1"/>
    </xf>
    <xf numFmtId="0" fontId="9" fillId="0" borderId="90" xfId="0" applyFont="1" applyBorder="1" applyAlignment="1">
      <alignment horizontal="center" vertical="top" wrapText="1"/>
    </xf>
    <xf numFmtId="3" fontId="11" fillId="0" borderId="120" xfId="0" applyNumberFormat="1" applyFont="1" applyBorder="1" applyAlignment="1">
      <alignment horizontal="center" vertical="top" wrapText="1"/>
    </xf>
    <xf numFmtId="3" fontId="11" fillId="0" borderId="121" xfId="0" applyNumberFormat="1" applyFont="1" applyBorder="1" applyAlignment="1">
      <alignment horizontal="center" vertical="top" wrapText="1"/>
    </xf>
    <xf numFmtId="3" fontId="11" fillId="0" borderId="120" xfId="0" applyNumberFormat="1" applyFont="1" applyFill="1" applyBorder="1" applyAlignment="1">
      <alignment horizontal="center" vertical="top" wrapText="1"/>
    </xf>
    <xf numFmtId="3" fontId="11" fillId="0" borderId="121" xfId="0" applyNumberFormat="1" applyFont="1" applyFill="1" applyBorder="1" applyAlignment="1">
      <alignment horizontal="center" vertical="top" wrapText="1"/>
    </xf>
    <xf numFmtId="3" fontId="11" fillId="0" borderId="134" xfId="0" applyNumberFormat="1" applyFont="1" applyFill="1" applyBorder="1" applyAlignment="1">
      <alignment horizontal="center" vertical="top" wrapText="1"/>
    </xf>
    <xf numFmtId="3" fontId="11" fillId="0" borderId="102" xfId="0" applyNumberFormat="1" applyFont="1" applyBorder="1" applyAlignment="1">
      <alignment horizontal="left" vertical="top" wrapText="1"/>
    </xf>
    <xf numFmtId="3" fontId="11" fillId="0" borderId="101" xfId="0" applyNumberFormat="1" applyFont="1" applyBorder="1" applyAlignment="1">
      <alignment horizontal="center" vertical="top" wrapText="1"/>
    </xf>
    <xf numFmtId="3" fontId="11" fillId="0" borderId="102" xfId="0" applyNumberFormat="1" applyFont="1" applyBorder="1" applyAlignment="1">
      <alignment horizontal="center" vertical="top" wrapText="1"/>
    </xf>
    <xf numFmtId="3" fontId="11" fillId="0" borderId="101" xfId="0" applyNumberFormat="1" applyFont="1" applyFill="1" applyBorder="1" applyAlignment="1">
      <alignment horizontal="center" vertical="top" wrapText="1"/>
    </xf>
    <xf numFmtId="3" fontId="11" fillId="0" borderId="102" xfId="0" applyNumberFormat="1" applyFont="1" applyFill="1" applyBorder="1" applyAlignment="1">
      <alignment horizontal="center" vertical="top" wrapText="1"/>
    </xf>
    <xf numFmtId="3" fontId="11" fillId="0" borderId="103" xfId="0" applyNumberFormat="1" applyFont="1" applyFill="1" applyBorder="1" applyAlignment="1">
      <alignment horizontal="center" vertical="top" wrapText="1"/>
    </xf>
    <xf numFmtId="3" fontId="11" fillId="0" borderId="108" xfId="0" applyNumberFormat="1" applyFont="1" applyBorder="1" applyAlignment="1">
      <alignment horizontal="center" vertical="top" wrapText="1"/>
    </xf>
    <xf numFmtId="3" fontId="9" fillId="0" borderId="107" xfId="0" applyNumberFormat="1" applyFont="1" applyBorder="1" applyAlignment="1">
      <alignment horizontal="center" vertical="top" wrapText="1"/>
    </xf>
    <xf numFmtId="3" fontId="9" fillId="0" borderId="108" xfId="0" applyNumberFormat="1" applyFont="1" applyBorder="1" applyAlignment="1">
      <alignment horizontal="center" vertical="top" wrapText="1"/>
    </xf>
    <xf numFmtId="3" fontId="9" fillId="0" borderId="109" xfId="0" applyNumberFormat="1" applyFont="1" applyBorder="1" applyAlignment="1">
      <alignment horizontal="center" vertical="top" wrapText="1"/>
    </xf>
    <xf numFmtId="3" fontId="11" fillId="0" borderId="101" xfId="0" applyNumberFormat="1" applyFont="1" applyBorder="1" applyAlignment="1">
      <alignment horizontal="left" vertical="top" wrapText="1"/>
    </xf>
    <xf numFmtId="3" fontId="11" fillId="0" borderId="103" xfId="0" applyNumberFormat="1" applyFont="1" applyBorder="1" applyAlignment="1">
      <alignment horizontal="left" vertical="top" wrapText="1"/>
    </xf>
    <xf numFmtId="3" fontId="11" fillId="0" borderId="101" xfId="98" applyNumberFormat="1" applyFont="1" applyBorder="1" applyAlignment="1">
      <alignment horizontal="center" vertical="top" wrapText="1"/>
    </xf>
    <xf numFmtId="3" fontId="11" fillId="0" borderId="102" xfId="98" applyNumberFormat="1" applyFont="1" applyBorder="1" applyAlignment="1">
      <alignment horizontal="center" vertical="top" wrapText="1"/>
    </xf>
    <xf numFmtId="3" fontId="11" fillId="0" borderId="103" xfId="98" applyNumberFormat="1" applyFont="1" applyBorder="1" applyAlignment="1">
      <alignment horizontal="center" vertical="top" wrapText="1"/>
    </xf>
    <xf numFmtId="0" fontId="9" fillId="0" borderId="36" xfId="0" applyFont="1" applyFill="1" applyBorder="1" applyAlignment="1">
      <alignment horizontal="center" vertical="top" wrapText="1"/>
    </xf>
    <xf numFmtId="0" fontId="9" fillId="0" borderId="37" xfId="0" applyFont="1" applyFill="1" applyBorder="1" applyAlignment="1">
      <alignment horizontal="center" vertical="top"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15" fillId="4" borderId="101" xfId="0" applyFont="1" applyFill="1" applyBorder="1" applyAlignment="1">
      <alignment vertical="top" wrapText="1"/>
    </xf>
    <xf numFmtId="0" fontId="9" fillId="0" borderId="102" xfId="0" applyFont="1" applyBorder="1" applyAlignment="1">
      <alignment vertical="top" wrapText="1"/>
    </xf>
    <xf numFmtId="0" fontId="9" fillId="0" borderId="103" xfId="0" applyFont="1" applyBorder="1" applyAlignment="1">
      <alignment vertical="top" wrapText="1"/>
    </xf>
    <xf numFmtId="0" fontId="9" fillId="17" borderId="0" xfId="0" applyFont="1" applyFill="1" applyBorder="1" applyAlignment="1">
      <alignment horizontal="center"/>
    </xf>
    <xf numFmtId="0" fontId="9" fillId="17" borderId="2" xfId="0" applyFont="1" applyFill="1" applyBorder="1" applyAlignment="1">
      <alignment horizontal="center"/>
    </xf>
    <xf numFmtId="0" fontId="9" fillId="17" borderId="121" xfId="0" applyFont="1" applyFill="1" applyBorder="1" applyAlignment="1">
      <alignment horizontal="center"/>
    </xf>
    <xf numFmtId="0" fontId="9" fillId="17" borderId="122" xfId="0" applyFont="1" applyFill="1" applyBorder="1" applyAlignment="1">
      <alignment horizontal="center"/>
    </xf>
    <xf numFmtId="0" fontId="15" fillId="4" borderId="117" xfId="0" applyFont="1" applyFill="1" applyBorder="1" applyAlignment="1">
      <alignment horizontal="center" vertical="top" wrapText="1"/>
    </xf>
    <xf numFmtId="0" fontId="15" fillId="4" borderId="115" xfId="0" applyFont="1" applyFill="1" applyBorder="1" applyAlignment="1">
      <alignment horizontal="center" vertical="top" wrapText="1"/>
    </xf>
    <xf numFmtId="0" fontId="10" fillId="0" borderId="102" xfId="0" applyFont="1" applyFill="1" applyBorder="1" applyAlignment="1">
      <alignment horizontal="left" vertical="top" wrapText="1"/>
    </xf>
    <xf numFmtId="0" fontId="10" fillId="0" borderId="103" xfId="0" applyFont="1" applyFill="1" applyBorder="1" applyAlignment="1">
      <alignment horizontal="left" vertical="top" wrapText="1"/>
    </xf>
    <xf numFmtId="3" fontId="9" fillId="0" borderId="0" xfId="0" quotePrefix="1" applyNumberFormat="1" applyFont="1" applyFill="1" applyBorder="1" applyAlignment="1">
      <alignment horizontal="center" vertical="top" wrapText="1"/>
    </xf>
    <xf numFmtId="3" fontId="9" fillId="17" borderId="7" xfId="0" applyNumberFormat="1" applyFont="1" applyFill="1" applyBorder="1" applyAlignment="1">
      <alignment horizontal="left" vertical="top" wrapText="1"/>
    </xf>
    <xf numFmtId="3" fontId="9" fillId="17" borderId="0" xfId="0" applyNumberFormat="1" applyFont="1" applyFill="1" applyBorder="1" applyAlignment="1">
      <alignment horizontal="left" vertical="top" wrapText="1"/>
    </xf>
    <xf numFmtId="3" fontId="9" fillId="17" borderId="0" xfId="0" applyNumberFormat="1" applyFont="1" applyFill="1" applyBorder="1" applyAlignment="1">
      <alignment horizontal="center" vertical="top" wrapText="1"/>
    </xf>
    <xf numFmtId="3" fontId="9" fillId="17" borderId="2" xfId="0" applyNumberFormat="1" applyFont="1" applyFill="1" applyBorder="1" applyAlignment="1">
      <alignment horizontal="center" vertical="top" wrapText="1"/>
    </xf>
    <xf numFmtId="0" fontId="9" fillId="0" borderId="7" xfId="0" applyFont="1" applyFill="1" applyBorder="1" applyAlignment="1">
      <alignment horizontal="left" vertical="top" wrapText="1"/>
    </xf>
    <xf numFmtId="0" fontId="9" fillId="0" borderId="101" xfId="0" applyFont="1" applyFill="1" applyBorder="1" applyAlignment="1">
      <alignment horizontal="left" vertical="top" wrapText="1"/>
    </xf>
    <xf numFmtId="3" fontId="9" fillId="0" borderId="102" xfId="0" applyNumberFormat="1" applyFont="1" applyFill="1" applyBorder="1" applyAlignment="1">
      <alignment horizontal="center" vertical="top" wrapText="1"/>
    </xf>
    <xf numFmtId="3" fontId="9" fillId="0" borderId="103" xfId="0" applyNumberFormat="1" applyFont="1" applyFill="1" applyBorder="1" applyAlignment="1">
      <alignment horizontal="center" vertical="top" wrapText="1"/>
    </xf>
    <xf numFmtId="0" fontId="20" fillId="0" borderId="101" xfId="0" applyFont="1" applyBorder="1" applyAlignment="1">
      <alignment horizontal="center" vertical="top" wrapText="1"/>
    </xf>
    <xf numFmtId="0" fontId="11" fillId="0" borderId="7" xfId="0" applyFont="1" applyBorder="1" applyAlignment="1"/>
    <xf numFmtId="0" fontId="15" fillId="4" borderId="102" xfId="0" applyFont="1" applyFill="1" applyBorder="1" applyAlignment="1">
      <alignment vertical="top" wrapText="1"/>
    </xf>
    <xf numFmtId="0" fontId="15" fillId="4" borderId="103" xfId="0" applyFont="1" applyFill="1" applyBorder="1" applyAlignment="1">
      <alignment vertical="top" wrapText="1"/>
    </xf>
    <xf numFmtId="0" fontId="11" fillId="0" borderId="101" xfId="0" applyFont="1" applyBorder="1" applyAlignment="1">
      <alignment horizontal="left" vertical="top" wrapText="1"/>
    </xf>
    <xf numFmtId="0" fontId="11" fillId="0" borderId="102" xfId="0" applyFont="1" applyBorder="1" applyAlignment="1">
      <alignment horizontal="left" vertical="top" wrapText="1"/>
    </xf>
    <xf numFmtId="0" fontId="11" fillId="0" borderId="103" xfId="0" applyFont="1" applyBorder="1" applyAlignment="1">
      <alignment horizontal="left" vertical="top" wrapText="1"/>
    </xf>
    <xf numFmtId="0" fontId="9" fillId="0" borderId="0" xfId="0" applyFont="1" applyBorder="1" applyAlignment="1">
      <alignment horizontal="center" vertical="top" wrapText="1"/>
    </xf>
    <xf numFmtId="0" fontId="9" fillId="0" borderId="2" xfId="0" applyFont="1" applyBorder="1" applyAlignment="1">
      <alignment horizontal="center" vertical="top" wrapText="1"/>
    </xf>
    <xf numFmtId="0" fontId="9" fillId="0" borderId="7" xfId="0" applyFont="1" applyBorder="1" applyAlignment="1">
      <alignment horizontal="center" vertical="top"/>
    </xf>
    <xf numFmtId="0" fontId="9" fillId="0" borderId="0" xfId="0" applyFont="1" applyBorder="1" applyAlignment="1">
      <alignment horizontal="center" vertical="top"/>
    </xf>
    <xf numFmtId="0" fontId="9" fillId="0" borderId="2" xfId="0" applyFont="1" applyBorder="1" applyAlignment="1">
      <alignment horizontal="center" vertical="top"/>
    </xf>
    <xf numFmtId="9" fontId="9" fillId="0" borderId="13" xfId="0" applyNumberFormat="1" applyFont="1" applyFill="1" applyBorder="1" applyAlignment="1">
      <alignment horizontal="left" vertical="top" wrapText="1"/>
    </xf>
    <xf numFmtId="9" fontId="9" fillId="0" borderId="8" xfId="0" applyNumberFormat="1" applyFont="1" applyFill="1" applyBorder="1" applyAlignment="1">
      <alignment horizontal="left" vertical="top" wrapText="1"/>
    </xf>
    <xf numFmtId="9" fontId="9" fillId="17" borderId="7" xfId="0" applyNumberFormat="1" applyFont="1" applyFill="1" applyBorder="1" applyAlignment="1">
      <alignment horizontal="left" vertical="top" wrapText="1"/>
    </xf>
    <xf numFmtId="9" fontId="9" fillId="17" borderId="0" xfId="0" applyNumberFormat="1" applyFont="1" applyFill="1" applyBorder="1" applyAlignment="1">
      <alignment horizontal="left" vertical="top" wrapText="1"/>
    </xf>
    <xf numFmtId="9" fontId="9" fillId="17" borderId="2" xfId="0" applyNumberFormat="1" applyFont="1" applyFill="1" applyBorder="1" applyAlignment="1">
      <alignment horizontal="left" vertical="top" wrapText="1"/>
    </xf>
    <xf numFmtId="0" fontId="15" fillId="4" borderId="7" xfId="0" applyFont="1" applyFill="1" applyBorder="1" applyAlignment="1">
      <alignment horizontal="center" vertical="top" wrapText="1"/>
    </xf>
    <xf numFmtId="0" fontId="15" fillId="4" borderId="0" xfId="0" applyFont="1" applyFill="1" applyBorder="1" applyAlignment="1">
      <alignment horizontal="center" vertical="top" wrapText="1"/>
    </xf>
    <xf numFmtId="0" fontId="15" fillId="4" borderId="2" xfId="0" applyFont="1" applyFill="1" applyBorder="1" applyAlignment="1">
      <alignment horizontal="center" vertical="top" wrapText="1"/>
    </xf>
    <xf numFmtId="0" fontId="9" fillId="17" borderId="7" xfId="0" applyFont="1" applyFill="1" applyBorder="1" applyAlignment="1">
      <alignment horizontal="left" vertical="top" wrapText="1"/>
    </xf>
    <xf numFmtId="3" fontId="9" fillId="0" borderId="7" xfId="0" applyNumberFormat="1" applyFont="1" applyFill="1" applyBorder="1" applyAlignment="1">
      <alignment horizontal="left" vertical="top" wrapText="1"/>
    </xf>
    <xf numFmtId="3" fontId="9" fillId="0" borderId="108" xfId="0" applyNumberFormat="1" applyFont="1" applyFill="1" applyBorder="1" applyAlignment="1">
      <alignment horizontal="center" vertical="top" wrapText="1"/>
    </xf>
    <xf numFmtId="0" fontId="9" fillId="0" borderId="108" xfId="0" applyFont="1" applyFill="1" applyBorder="1" applyAlignment="1">
      <alignment horizontal="left" vertical="top"/>
    </xf>
    <xf numFmtId="0" fontId="9" fillId="0" borderId="101" xfId="0" applyFont="1" applyBorder="1" applyAlignment="1">
      <alignment horizontal="center" vertical="top"/>
    </xf>
    <xf numFmtId="0" fontId="9" fillId="0" borderId="102" xfId="0" applyFont="1" applyBorder="1" applyAlignment="1">
      <alignment horizontal="center" vertical="top"/>
    </xf>
    <xf numFmtId="0" fontId="9" fillId="0" borderId="103" xfId="0" applyFont="1" applyBorder="1" applyAlignment="1">
      <alignment horizontal="center" vertical="top"/>
    </xf>
    <xf numFmtId="0" fontId="9" fillId="0" borderId="103" xfId="0" applyFont="1" applyBorder="1" applyAlignment="1">
      <alignment horizontal="center" vertical="top" wrapText="1"/>
    </xf>
    <xf numFmtId="0" fontId="9" fillId="0" borderId="35" xfId="0" applyFont="1" applyFill="1" applyBorder="1" applyAlignment="1">
      <alignment horizontal="center" vertical="top" wrapText="1"/>
    </xf>
    <xf numFmtId="0" fontId="9" fillId="0" borderId="88" xfId="0" applyFont="1" applyFill="1" applyBorder="1" applyAlignment="1">
      <alignment horizontal="center" vertical="top" wrapText="1"/>
    </xf>
    <xf numFmtId="0" fontId="15" fillId="4" borderId="88" xfId="0" applyFont="1" applyFill="1" applyBorder="1" applyAlignment="1">
      <alignment horizontal="center" vertical="top" wrapText="1"/>
    </xf>
    <xf numFmtId="0" fontId="15" fillId="4" borderId="89" xfId="0" applyFont="1" applyFill="1" applyBorder="1" applyAlignment="1">
      <alignment horizontal="center" vertical="top" wrapText="1"/>
    </xf>
    <xf numFmtId="0" fontId="15" fillId="4" borderId="90" xfId="0" applyFont="1" applyFill="1" applyBorder="1" applyAlignment="1">
      <alignment horizontal="center" vertical="top" wrapText="1"/>
    </xf>
    <xf numFmtId="9" fontId="9" fillId="0" borderId="101" xfId="0" applyNumberFormat="1" applyFont="1" applyFill="1" applyBorder="1" applyAlignment="1">
      <alignment horizontal="center" vertical="top" wrapText="1"/>
    </xf>
    <xf numFmtId="9" fontId="9" fillId="0" borderId="102" xfId="0" applyNumberFormat="1" applyFont="1" applyFill="1" applyBorder="1" applyAlignment="1">
      <alignment horizontal="center" vertical="top" wrapText="1"/>
    </xf>
    <xf numFmtId="9" fontId="9" fillId="0" borderId="103" xfId="0" applyNumberFormat="1" applyFont="1" applyFill="1" applyBorder="1" applyAlignment="1">
      <alignment horizontal="center" vertical="top" wrapText="1"/>
    </xf>
    <xf numFmtId="0" fontId="9" fillId="0" borderId="101" xfId="0" applyFont="1" applyBorder="1" applyAlignment="1">
      <alignment horizontal="left" vertical="top"/>
    </xf>
    <xf numFmtId="0" fontId="9" fillId="0" borderId="102" xfId="0" applyFont="1" applyBorder="1" applyAlignment="1">
      <alignment horizontal="left" vertical="top"/>
    </xf>
    <xf numFmtId="9" fontId="9" fillId="0" borderId="102" xfId="0" applyNumberFormat="1" applyFont="1" applyBorder="1" applyAlignment="1">
      <alignment horizontal="left" vertical="top" wrapText="1"/>
    </xf>
    <xf numFmtId="0" fontId="9" fillId="0" borderId="102" xfId="0" applyFont="1" applyBorder="1" applyAlignment="1">
      <alignment horizontal="left" vertical="top" wrapText="1"/>
    </xf>
    <xf numFmtId="0" fontId="9" fillId="0" borderId="103" xfId="0" applyFont="1" applyBorder="1" applyAlignment="1">
      <alignment horizontal="left" vertical="top" wrapText="1"/>
    </xf>
    <xf numFmtId="9" fontId="9" fillId="0" borderId="107" xfId="0" applyNumberFormat="1" applyFont="1" applyBorder="1" applyAlignment="1">
      <alignment horizontal="center" vertical="top" wrapText="1"/>
    </xf>
    <xf numFmtId="0" fontId="9" fillId="0" borderId="108" xfId="0" applyFont="1" applyBorder="1" applyAlignment="1">
      <alignment horizontal="center" vertical="top" wrapText="1"/>
    </xf>
    <xf numFmtId="0" fontId="9" fillId="0" borderId="109" xfId="0" applyFont="1" applyBorder="1" applyAlignment="1">
      <alignment horizontal="center" vertical="top" wrapText="1"/>
    </xf>
    <xf numFmtId="0" fontId="9" fillId="0" borderId="101" xfId="0" applyFont="1" applyFill="1" applyBorder="1" applyAlignment="1">
      <alignment horizontal="left" vertical="top"/>
    </xf>
    <xf numFmtId="0" fontId="9" fillId="0" borderId="102" xfId="0" applyFont="1" applyFill="1" applyBorder="1" applyAlignment="1">
      <alignment horizontal="left" vertical="top"/>
    </xf>
    <xf numFmtId="0" fontId="15" fillId="0" borderId="88" xfId="0" applyFont="1" applyBorder="1" applyAlignment="1">
      <alignment horizontal="left" vertical="top" wrapText="1"/>
    </xf>
    <xf numFmtId="0" fontId="15" fillId="0" borderId="89" xfId="0" applyFont="1" applyBorder="1" applyAlignment="1">
      <alignment horizontal="left" vertical="top" wrapText="1"/>
    </xf>
    <xf numFmtId="0" fontId="15" fillId="0" borderId="90" xfId="0" applyFont="1" applyBorder="1" applyAlignment="1">
      <alignment horizontal="left" vertical="top" wrapText="1"/>
    </xf>
    <xf numFmtId="9" fontId="9" fillId="0" borderId="108" xfId="0" applyNumberFormat="1" applyFont="1" applyFill="1" applyBorder="1" applyAlignment="1">
      <alignment horizontal="center" vertical="top" wrapText="1"/>
    </xf>
    <xf numFmtId="0" fontId="9" fillId="0" borderId="108" xfId="0" applyFont="1" applyFill="1" applyBorder="1" applyAlignment="1">
      <alignment horizontal="center"/>
    </xf>
    <xf numFmtId="0" fontId="9" fillId="0" borderId="109" xfId="0" applyFont="1" applyFill="1" applyBorder="1" applyAlignment="1">
      <alignment horizontal="center"/>
    </xf>
    <xf numFmtId="0" fontId="9" fillId="0" borderId="107" xfId="0" applyFont="1" applyBorder="1" applyAlignment="1">
      <alignment horizontal="center" vertical="top"/>
    </xf>
    <xf numFmtId="0" fontId="9" fillId="0" borderId="108" xfId="0" applyFont="1" applyBorder="1" applyAlignment="1">
      <alignment horizontal="center" vertical="top"/>
    </xf>
    <xf numFmtId="0" fontId="9" fillId="0" borderId="109" xfId="0" applyFont="1" applyBorder="1" applyAlignment="1">
      <alignment horizontal="center" vertical="top"/>
    </xf>
    <xf numFmtId="0" fontId="9" fillId="0" borderId="104" xfId="0" applyFont="1" applyBorder="1" applyAlignment="1">
      <alignment horizontal="left" vertical="top" wrapText="1"/>
    </xf>
    <xf numFmtId="0" fontId="15" fillId="18" borderId="88" xfId="0" applyFont="1" applyFill="1" applyBorder="1" applyAlignment="1">
      <alignment horizontal="left" vertical="top" wrapText="1"/>
    </xf>
    <xf numFmtId="0" fontId="15" fillId="18" borderId="89" xfId="0" applyFont="1" applyFill="1" applyBorder="1" applyAlignment="1">
      <alignment horizontal="left" vertical="top" wrapText="1"/>
    </xf>
    <xf numFmtId="0" fontId="15" fillId="18" borderId="90" xfId="0" applyFont="1" applyFill="1" applyBorder="1" applyAlignment="1">
      <alignment horizontal="left" vertical="top" wrapText="1"/>
    </xf>
    <xf numFmtId="0" fontId="11" fillId="0" borderId="87" xfId="0" applyFont="1" applyBorder="1" applyAlignment="1">
      <alignment horizontal="center" vertical="top"/>
    </xf>
    <xf numFmtId="0" fontId="11" fillId="0" borderId="104" xfId="0" applyFont="1" applyBorder="1" applyAlignment="1">
      <alignment horizontal="center" vertical="top"/>
    </xf>
    <xf numFmtId="0" fontId="20" fillId="0" borderId="104" xfId="0" applyFont="1" applyBorder="1" applyAlignment="1">
      <alignment horizontal="center" vertical="top" wrapText="1"/>
    </xf>
    <xf numFmtId="0" fontId="20" fillId="0" borderId="1" xfId="0" applyFont="1" applyBorder="1" applyAlignment="1">
      <alignment horizontal="center" vertical="top" wrapText="1"/>
    </xf>
    <xf numFmtId="3" fontId="11" fillId="0" borderId="7" xfId="0" applyNumberFormat="1" applyFont="1" applyFill="1" applyBorder="1" applyAlignment="1">
      <alignment horizontal="left" vertical="top" wrapText="1"/>
    </xf>
    <xf numFmtId="3" fontId="11" fillId="0" borderId="0" xfId="0" applyNumberFormat="1" applyFont="1" applyFill="1" applyBorder="1" applyAlignment="1">
      <alignment horizontal="left" vertical="top" wrapText="1"/>
    </xf>
    <xf numFmtId="3" fontId="11" fillId="0" borderId="2" xfId="0" applyNumberFormat="1" applyFont="1" applyFill="1" applyBorder="1" applyAlignment="1">
      <alignment horizontal="left" vertical="top" wrapText="1"/>
    </xf>
    <xf numFmtId="3" fontId="9" fillId="0" borderId="120" xfId="0" applyNumberFormat="1" applyFont="1" applyBorder="1" applyAlignment="1">
      <alignment horizontal="center" vertical="top" wrapText="1"/>
    </xf>
    <xf numFmtId="3" fontId="9" fillId="0" borderId="121" xfId="0" applyNumberFormat="1" applyFont="1" applyBorder="1" applyAlignment="1">
      <alignment horizontal="center" vertical="top" wrapText="1"/>
    </xf>
    <xf numFmtId="3" fontId="11" fillId="0" borderId="120" xfId="0" applyNumberFormat="1" applyFont="1" applyFill="1" applyBorder="1" applyAlignment="1">
      <alignment horizontal="left" vertical="top" wrapText="1"/>
    </xf>
    <xf numFmtId="3" fontId="11" fillId="0" borderId="121" xfId="0" applyNumberFormat="1" applyFont="1" applyFill="1" applyBorder="1" applyAlignment="1">
      <alignment horizontal="left" vertical="top" wrapText="1"/>
    </xf>
    <xf numFmtId="3" fontId="11" fillId="0" borderId="122" xfId="0" applyNumberFormat="1" applyFont="1" applyFill="1" applyBorder="1" applyAlignment="1">
      <alignment horizontal="left" vertical="top" wrapText="1"/>
    </xf>
    <xf numFmtId="0" fontId="15" fillId="4" borderId="131" xfId="0" applyFont="1" applyFill="1" applyBorder="1" applyAlignment="1">
      <alignment vertical="top" wrapText="1"/>
    </xf>
    <xf numFmtId="0" fontId="15" fillId="3" borderId="104" xfId="0" applyFont="1" applyFill="1" applyBorder="1" applyAlignment="1">
      <alignment vertical="top" wrapText="1"/>
    </xf>
    <xf numFmtId="0" fontId="15" fillId="3" borderId="114" xfId="0" applyFont="1" applyFill="1" applyBorder="1" applyAlignment="1">
      <alignment vertical="top" wrapText="1"/>
    </xf>
    <xf numFmtId="0" fontId="11" fillId="2" borderId="88" xfId="0" applyFont="1" applyFill="1" applyBorder="1" applyAlignment="1">
      <alignment vertical="top" wrapText="1"/>
    </xf>
    <xf numFmtId="0" fontId="11" fillId="0" borderId="89" xfId="0" applyFont="1" applyBorder="1" applyAlignment="1">
      <alignment vertical="top" wrapText="1"/>
    </xf>
    <xf numFmtId="0" fontId="11" fillId="0" borderId="90" xfId="0" applyFont="1" applyBorder="1" applyAlignment="1">
      <alignment vertical="top" wrapText="1"/>
    </xf>
    <xf numFmtId="0" fontId="11" fillId="0" borderId="88" xfId="0" applyFont="1" applyBorder="1" applyAlignment="1">
      <alignment horizontal="left" vertical="top" wrapText="1"/>
    </xf>
    <xf numFmtId="0" fontId="11" fillId="0" borderId="89" xfId="0" applyFont="1" applyBorder="1" applyAlignment="1">
      <alignment horizontal="left" vertical="top" wrapText="1"/>
    </xf>
    <xf numFmtId="0" fontId="11" fillId="0" borderId="90" xfId="0" applyFont="1" applyBorder="1" applyAlignment="1">
      <alignment horizontal="left" vertical="top" wrapText="1"/>
    </xf>
    <xf numFmtId="0" fontId="20" fillId="0" borderId="88" xfId="0" applyFont="1" applyBorder="1" applyAlignment="1">
      <alignment horizontal="left" vertical="top" wrapText="1"/>
    </xf>
    <xf numFmtId="0" fontId="20" fillId="0" borderId="89" xfId="0" applyFont="1" applyBorder="1" applyAlignment="1">
      <alignment horizontal="left" vertical="top" wrapText="1"/>
    </xf>
    <xf numFmtId="0" fontId="20" fillId="0" borderId="90" xfId="0" applyFont="1" applyBorder="1" applyAlignment="1">
      <alignment horizontal="left" vertical="top" wrapText="1"/>
    </xf>
    <xf numFmtId="0" fontId="20" fillId="2" borderId="88" xfId="0" applyFont="1" applyFill="1" applyBorder="1" applyAlignment="1">
      <alignment horizontal="left" vertical="top" wrapText="1"/>
    </xf>
    <xf numFmtId="0" fontId="20" fillId="2" borderId="89" xfId="0" applyFont="1" applyFill="1" applyBorder="1" applyAlignment="1">
      <alignment horizontal="left" vertical="top" wrapText="1"/>
    </xf>
    <xf numFmtId="0" fontId="20" fillId="2" borderId="90" xfId="0" applyFont="1" applyFill="1" applyBorder="1" applyAlignment="1">
      <alignment horizontal="left" vertical="top" wrapText="1"/>
    </xf>
    <xf numFmtId="0" fontId="20" fillId="0" borderId="88" xfId="0" applyFont="1" applyBorder="1" applyAlignment="1">
      <alignment horizontal="right" vertical="top" wrapText="1"/>
    </xf>
    <xf numFmtId="0" fontId="20" fillId="0" borderId="89" xfId="0" applyFont="1" applyBorder="1" applyAlignment="1">
      <alignment horizontal="right" vertical="top" wrapText="1"/>
    </xf>
    <xf numFmtId="0" fontId="20" fillId="0" borderId="90" xfId="0" applyFont="1" applyBorder="1" applyAlignment="1">
      <alignment horizontal="right" vertical="top" wrapText="1"/>
    </xf>
    <xf numFmtId="0" fontId="20" fillId="12" borderId="131" xfId="0" applyFont="1" applyFill="1" applyBorder="1" applyAlignment="1">
      <alignment horizontal="center" vertical="top" wrapText="1"/>
    </xf>
    <xf numFmtId="0" fontId="20" fillId="12" borderId="89" xfId="0" applyFont="1" applyFill="1" applyBorder="1" applyAlignment="1">
      <alignment horizontal="center" vertical="top" wrapText="1"/>
    </xf>
    <xf numFmtId="0" fontId="20" fillId="12" borderId="90" xfId="0" applyFont="1" applyFill="1" applyBorder="1" applyAlignment="1">
      <alignment horizontal="center" vertical="top" wrapText="1"/>
    </xf>
    <xf numFmtId="3" fontId="9" fillId="0" borderId="101" xfId="0" applyNumberFormat="1" applyFont="1" applyBorder="1" applyAlignment="1">
      <alignment horizontal="center" vertical="top" wrapText="1"/>
    </xf>
    <xf numFmtId="3" fontId="9" fillId="0" borderId="102" xfId="0" applyNumberFormat="1" applyFont="1" applyBorder="1" applyAlignment="1">
      <alignment horizontal="center" vertical="top" wrapText="1"/>
    </xf>
    <xf numFmtId="3" fontId="9" fillId="0" borderId="103" xfId="0" applyNumberFormat="1" applyFont="1" applyBorder="1" applyAlignment="1">
      <alignment horizontal="center" vertical="top" wrapText="1"/>
    </xf>
    <xf numFmtId="3" fontId="11" fillId="0" borderId="103" xfId="0" applyNumberFormat="1" applyFont="1" applyBorder="1" applyAlignment="1">
      <alignment horizontal="center" vertical="top" wrapText="1"/>
    </xf>
    <xf numFmtId="0" fontId="20" fillId="0" borderId="7" xfId="0" applyFont="1" applyBorder="1" applyAlignment="1">
      <alignment horizontal="center" vertical="top" wrapText="1"/>
    </xf>
    <xf numFmtId="0" fontId="20" fillId="0" borderId="120" xfId="0" applyFont="1" applyBorder="1" applyAlignment="1">
      <alignment horizontal="center" vertical="top" wrapText="1"/>
    </xf>
    <xf numFmtId="0" fontId="11" fillId="0" borderId="88" xfId="0" applyFont="1" applyBorder="1" applyAlignment="1">
      <alignment horizontal="center" vertical="top"/>
    </xf>
    <xf numFmtId="3" fontId="11" fillId="0" borderId="101" xfId="0" applyNumberFormat="1" applyFont="1" applyFill="1" applyBorder="1" applyAlignment="1">
      <alignment horizontal="left" vertical="top" wrapText="1"/>
    </xf>
    <xf numFmtId="3" fontId="11" fillId="0" borderId="102" xfId="0" applyNumberFormat="1" applyFont="1" applyFill="1" applyBorder="1" applyAlignment="1">
      <alignment horizontal="left" vertical="top" wrapText="1"/>
    </xf>
    <xf numFmtId="3" fontId="11" fillId="0" borderId="103" xfId="0" applyNumberFormat="1" applyFont="1" applyFill="1" applyBorder="1" applyAlignment="1">
      <alignment horizontal="left" vertical="top" wrapText="1"/>
    </xf>
    <xf numFmtId="0" fontId="11" fillId="0" borderId="101" xfId="0" applyFont="1" applyFill="1" applyBorder="1" applyAlignment="1">
      <alignment horizontal="left" vertical="top" wrapText="1"/>
    </xf>
    <xf numFmtId="0" fontId="11" fillId="0" borderId="102" xfId="0" applyFont="1" applyFill="1" applyBorder="1" applyAlignment="1">
      <alignment horizontal="left" vertical="top" wrapText="1"/>
    </xf>
    <xf numFmtId="3" fontId="9" fillId="0" borderId="7" xfId="0" applyNumberFormat="1" applyFont="1" applyFill="1" applyBorder="1" applyAlignment="1">
      <alignment horizontal="center" vertical="top" wrapText="1"/>
    </xf>
    <xf numFmtId="0" fontId="20" fillId="4" borderId="88" xfId="0" applyFont="1" applyFill="1" applyBorder="1" applyAlignment="1">
      <alignment vertical="top" wrapText="1"/>
    </xf>
    <xf numFmtId="0" fontId="20" fillId="4" borderId="89" xfId="0" applyFont="1" applyFill="1" applyBorder="1" applyAlignment="1">
      <alignment vertical="top" wrapText="1"/>
    </xf>
    <xf numFmtId="0" fontId="20" fillId="4" borderId="90" xfId="0" applyFont="1" applyFill="1" applyBorder="1" applyAlignment="1">
      <alignment vertical="top" wrapText="1"/>
    </xf>
    <xf numFmtId="3" fontId="9" fillId="0" borderId="107" xfId="0" applyNumberFormat="1" applyFont="1" applyFill="1" applyBorder="1" applyAlignment="1">
      <alignment horizontal="center" vertical="top" wrapText="1"/>
    </xf>
    <xf numFmtId="3" fontId="9" fillId="0" borderId="109" xfId="0" applyNumberFormat="1" applyFont="1" applyFill="1" applyBorder="1" applyAlignment="1">
      <alignment horizontal="center" vertical="top" wrapText="1"/>
    </xf>
    <xf numFmtId="0" fontId="15" fillId="18" borderId="131" xfId="0" applyFont="1" applyFill="1" applyBorder="1" applyAlignment="1">
      <alignment horizontal="left" vertical="top" wrapText="1"/>
    </xf>
    <xf numFmtId="0" fontId="11" fillId="15" borderId="87" xfId="0" applyFont="1" applyFill="1" applyBorder="1" applyAlignment="1">
      <alignment horizontal="center" vertical="top"/>
    </xf>
    <xf numFmtId="0" fontId="11" fillId="0" borderId="103" xfId="0" applyFont="1" applyBorder="1" applyAlignment="1">
      <alignment horizontal="center" vertical="top"/>
    </xf>
    <xf numFmtId="0" fontId="20" fillId="12" borderId="88" xfId="0" applyFont="1" applyFill="1" applyBorder="1" applyAlignment="1">
      <alignment horizontal="center" vertical="top" wrapText="1"/>
    </xf>
    <xf numFmtId="3" fontId="11" fillId="17" borderId="101" xfId="0" applyNumberFormat="1" applyFont="1" applyFill="1" applyBorder="1" applyAlignment="1">
      <alignment horizontal="left" vertical="top" wrapText="1"/>
    </xf>
    <xf numFmtId="3" fontId="11" fillId="17" borderId="102" xfId="0" applyNumberFormat="1" applyFont="1" applyFill="1" applyBorder="1" applyAlignment="1">
      <alignment horizontal="left" vertical="top" wrapText="1"/>
    </xf>
    <xf numFmtId="3" fontId="11" fillId="0" borderId="107" xfId="0" applyNumberFormat="1" applyFont="1" applyFill="1" applyBorder="1" applyAlignment="1">
      <alignment horizontal="left" vertical="top" wrapText="1"/>
    </xf>
    <xf numFmtId="3" fontId="11" fillId="0" borderId="108" xfId="0" applyNumberFormat="1" applyFont="1" applyFill="1" applyBorder="1" applyAlignment="1">
      <alignment horizontal="left" vertical="top" wrapText="1"/>
    </xf>
    <xf numFmtId="3" fontId="11" fillId="0" borderId="109" xfId="0" applyNumberFormat="1" applyFont="1" applyFill="1" applyBorder="1" applyAlignment="1">
      <alignment horizontal="left" vertical="top" wrapText="1"/>
    </xf>
    <xf numFmtId="0" fontId="20" fillId="4" borderId="101" xfId="0" applyFont="1" applyFill="1" applyBorder="1" applyAlignment="1">
      <alignment vertical="top" wrapText="1"/>
    </xf>
    <xf numFmtId="0" fontId="20" fillId="4" borderId="102" xfId="0" applyFont="1" applyFill="1" applyBorder="1" applyAlignment="1">
      <alignment vertical="top" wrapText="1"/>
    </xf>
    <xf numFmtId="0" fontId="20" fillId="4" borderId="103" xfId="0" applyFont="1" applyFill="1" applyBorder="1" applyAlignment="1">
      <alignment vertical="top" wrapText="1"/>
    </xf>
    <xf numFmtId="0" fontId="20" fillId="12" borderId="121" xfId="0" applyFont="1" applyFill="1" applyBorder="1" applyAlignment="1">
      <alignment horizontal="center" vertical="top" wrapText="1"/>
    </xf>
    <xf numFmtId="0" fontId="11" fillId="0" borderId="121" xfId="0" applyFont="1" applyBorder="1" applyAlignment="1">
      <alignment horizontal="center" vertical="top" wrapText="1"/>
    </xf>
    <xf numFmtId="0" fontId="9" fillId="7" borderId="104" xfId="0" applyFont="1" applyFill="1" applyBorder="1" applyAlignment="1">
      <alignment horizontal="left" vertical="top" wrapText="1"/>
    </xf>
    <xf numFmtId="0" fontId="9" fillId="7" borderId="1" xfId="0" applyFont="1" applyFill="1" applyBorder="1" applyAlignment="1">
      <alignment horizontal="left" vertical="top" wrapText="1"/>
    </xf>
    <xf numFmtId="0" fontId="9" fillId="7" borderId="7" xfId="0" applyFont="1" applyFill="1" applyBorder="1" applyAlignment="1">
      <alignment horizontal="left" vertical="top" wrapText="1"/>
    </xf>
    <xf numFmtId="0" fontId="9" fillId="7" borderId="110" xfId="0" applyFont="1" applyFill="1" applyBorder="1" applyAlignment="1">
      <alignment horizontal="left" vertical="top" wrapText="1"/>
    </xf>
    <xf numFmtId="3" fontId="11" fillId="0" borderId="0" xfId="98" applyNumberFormat="1" applyFont="1" applyBorder="1" applyAlignment="1">
      <alignment horizontal="center" vertical="top" wrapText="1"/>
    </xf>
    <xf numFmtId="3" fontId="11" fillId="0" borderId="2" xfId="98" applyNumberFormat="1" applyFont="1" applyBorder="1" applyAlignment="1">
      <alignment horizontal="center" vertical="top" wrapText="1"/>
    </xf>
    <xf numFmtId="3" fontId="11" fillId="0" borderId="107" xfId="0" applyNumberFormat="1" applyFont="1" applyBorder="1" applyAlignment="1">
      <alignment horizontal="center" vertical="top" wrapText="1"/>
    </xf>
    <xf numFmtId="3" fontId="11" fillId="0" borderId="109" xfId="0" applyNumberFormat="1" applyFont="1" applyBorder="1" applyAlignment="1">
      <alignment horizontal="center" vertical="top" wrapText="1"/>
    </xf>
    <xf numFmtId="0" fontId="11" fillId="0" borderId="7" xfId="0" applyFont="1" applyBorder="1" applyAlignment="1">
      <alignment horizontal="left" vertical="top" wrapText="1"/>
    </xf>
    <xf numFmtId="0" fontId="11" fillId="0" borderId="0" xfId="0" applyFont="1" applyBorder="1" applyAlignment="1">
      <alignment horizontal="left" vertical="top" wrapText="1"/>
    </xf>
    <xf numFmtId="0" fontId="9" fillId="0" borderId="110" xfId="0" applyFont="1" applyBorder="1" applyAlignment="1">
      <alignment horizontal="left" vertical="top" wrapText="1"/>
    </xf>
    <xf numFmtId="0" fontId="9" fillId="0" borderId="104" xfId="0" applyFont="1" applyBorder="1" applyAlignment="1">
      <alignment vertical="center" wrapText="1"/>
    </xf>
    <xf numFmtId="0" fontId="9" fillId="0" borderId="1" xfId="0" applyFont="1" applyBorder="1" applyAlignment="1">
      <alignment vertical="center" wrapText="1"/>
    </xf>
    <xf numFmtId="0" fontId="9" fillId="6" borderId="88" xfId="0" applyFont="1" applyFill="1" applyBorder="1" applyAlignment="1">
      <alignment horizontal="left" vertical="top" wrapText="1"/>
    </xf>
    <xf numFmtId="0" fontId="9" fillId="0" borderId="89" xfId="0" applyFont="1" applyBorder="1" applyAlignment="1">
      <alignment horizontal="left" vertical="top" wrapText="1"/>
    </xf>
    <xf numFmtId="0" fontId="9" fillId="0" borderId="90" xfId="0" applyFont="1" applyBorder="1" applyAlignment="1">
      <alignment horizontal="left" vertical="top" wrapText="1"/>
    </xf>
    <xf numFmtId="0" fontId="9" fillId="0" borderId="2" xfId="0" applyFont="1" applyBorder="1" applyAlignment="1">
      <alignment horizontal="left" vertical="top" wrapText="1"/>
    </xf>
    <xf numFmtId="0" fontId="15" fillId="6" borderId="89" xfId="0" applyFont="1" applyFill="1" applyBorder="1" applyAlignment="1">
      <alignment horizontal="center" vertical="top" wrapText="1"/>
    </xf>
    <xf numFmtId="0" fontId="15" fillId="6" borderId="90" xfId="0" applyFont="1" applyFill="1" applyBorder="1" applyAlignment="1">
      <alignment horizontal="center" vertical="top" wrapText="1"/>
    </xf>
    <xf numFmtId="0" fontId="15" fillId="6" borderId="88" xfId="0" applyFont="1" applyFill="1" applyBorder="1" applyAlignment="1">
      <alignment vertical="top" wrapText="1"/>
    </xf>
    <xf numFmtId="0" fontId="15" fillId="6" borderId="89" xfId="0" applyFont="1" applyFill="1" applyBorder="1" applyAlignment="1">
      <alignment vertical="top" wrapText="1"/>
    </xf>
    <xf numFmtId="0" fontId="15" fillId="6" borderId="90" xfId="0" applyFont="1" applyFill="1" applyBorder="1" applyAlignment="1">
      <alignment vertical="top" wrapText="1"/>
    </xf>
    <xf numFmtId="0" fontId="20" fillId="12" borderId="107" xfId="0" applyFont="1" applyFill="1" applyBorder="1" applyAlignment="1">
      <alignment horizontal="center" vertical="top" wrapText="1"/>
    </xf>
    <xf numFmtId="0" fontId="20" fillId="12" borderId="117" xfId="0" applyFont="1" applyFill="1" applyBorder="1" applyAlignment="1">
      <alignment horizontal="center" vertical="top" wrapText="1"/>
    </xf>
    <xf numFmtId="0" fontId="20" fillId="12" borderId="115" xfId="0" applyFont="1" applyFill="1" applyBorder="1" applyAlignment="1">
      <alignment horizontal="center" vertical="top" wrapText="1"/>
    </xf>
    <xf numFmtId="0" fontId="9" fillId="0" borderId="88" xfId="0" applyFont="1" applyBorder="1" applyAlignment="1">
      <alignment horizontal="left" vertical="top" wrapText="1"/>
    </xf>
    <xf numFmtId="0" fontId="55" fillId="0" borderId="7" xfId="0" applyFont="1" applyBorder="1" applyAlignment="1">
      <alignment vertical="center" wrapText="1"/>
    </xf>
    <xf numFmtId="0" fontId="55" fillId="0" borderId="107" xfId="0" applyFont="1" applyBorder="1" applyAlignment="1">
      <alignment vertical="center" wrapText="1"/>
    </xf>
    <xf numFmtId="0" fontId="9" fillId="17" borderId="101" xfId="0" applyFont="1" applyFill="1" applyBorder="1" applyAlignment="1">
      <alignment horizontal="left" vertical="top" wrapText="1"/>
    </xf>
    <xf numFmtId="0" fontId="55" fillId="0" borderId="104" xfId="0" applyFont="1" applyBorder="1" applyAlignment="1">
      <alignment horizontal="left" vertical="center" wrapText="1"/>
    </xf>
    <xf numFmtId="0" fontId="55" fillId="0" borderId="1" xfId="0" applyFont="1" applyBorder="1" applyAlignment="1">
      <alignment horizontal="left" vertical="center" wrapText="1"/>
    </xf>
    <xf numFmtId="0" fontId="9" fillId="0" borderId="12" xfId="0" applyFont="1" applyFill="1" applyBorder="1" applyAlignment="1">
      <alignment horizontal="left" vertical="top" wrapText="1"/>
    </xf>
    <xf numFmtId="0" fontId="9" fillId="0" borderId="11" xfId="0" applyFont="1" applyFill="1" applyBorder="1" applyAlignment="1">
      <alignment horizontal="left" vertical="top" wrapText="1"/>
    </xf>
    <xf numFmtId="0" fontId="15" fillId="4" borderId="101" xfId="0" applyFont="1" applyFill="1" applyBorder="1" applyAlignment="1">
      <alignment horizontal="left" vertical="top" wrapText="1"/>
    </xf>
    <xf numFmtId="0" fontId="15" fillId="4" borderId="102" xfId="0" applyFont="1" applyFill="1" applyBorder="1" applyAlignment="1">
      <alignment horizontal="left" vertical="top" wrapText="1"/>
    </xf>
    <xf numFmtId="0" fontId="15" fillId="4" borderId="103" xfId="0" applyFont="1" applyFill="1" applyBorder="1" applyAlignment="1">
      <alignment horizontal="left" vertical="top" wrapText="1"/>
    </xf>
    <xf numFmtId="0" fontId="15" fillId="4" borderId="26" xfId="0" applyFont="1" applyFill="1" applyBorder="1" applyAlignment="1">
      <alignment horizontal="center" vertical="top" wrapText="1"/>
    </xf>
    <xf numFmtId="0" fontId="15" fillId="4" borderId="22" xfId="0" applyFont="1" applyFill="1" applyBorder="1" applyAlignment="1">
      <alignment horizontal="center" vertical="top" wrapText="1"/>
    </xf>
    <xf numFmtId="0" fontId="15" fillId="4" borderId="20" xfId="0" applyFont="1" applyFill="1" applyBorder="1" applyAlignment="1">
      <alignment horizontal="center" vertical="top" wrapText="1"/>
    </xf>
    <xf numFmtId="0" fontId="15" fillId="4" borderId="93" xfId="0" applyFont="1" applyFill="1" applyBorder="1" applyAlignment="1">
      <alignment horizontal="center" vertical="top" wrapText="1"/>
    </xf>
    <xf numFmtId="0" fontId="15" fillId="4" borderId="94" xfId="0" applyFont="1" applyFill="1" applyBorder="1" applyAlignment="1">
      <alignment horizontal="center" vertical="top" wrapText="1"/>
    </xf>
    <xf numFmtId="0" fontId="15" fillId="4" borderId="41" xfId="0" applyFont="1" applyFill="1" applyBorder="1" applyAlignment="1">
      <alignment horizontal="center" vertical="top" wrapText="1"/>
    </xf>
    <xf numFmtId="0" fontId="15" fillId="4" borderId="97" xfId="0" applyFont="1" applyFill="1" applyBorder="1" applyAlignment="1">
      <alignment horizontal="center" vertical="top" wrapText="1"/>
    </xf>
    <xf numFmtId="0" fontId="9" fillId="0" borderId="96" xfId="0" applyFont="1" applyBorder="1" applyAlignment="1">
      <alignment horizontal="center" vertical="top" wrapText="1"/>
    </xf>
    <xf numFmtId="0" fontId="9" fillId="0" borderId="94" xfId="0" applyFont="1" applyBorder="1" applyAlignment="1">
      <alignment horizontal="center" vertical="top" wrapText="1"/>
    </xf>
    <xf numFmtId="0" fontId="9" fillId="0" borderId="97" xfId="0" applyFont="1" applyBorder="1" applyAlignment="1">
      <alignment horizontal="center" vertical="top" wrapText="1"/>
    </xf>
    <xf numFmtId="0" fontId="9" fillId="15" borderId="0" xfId="0" applyFont="1" applyFill="1" applyBorder="1" applyAlignment="1">
      <alignment horizontal="left" vertical="top" wrapText="1"/>
    </xf>
    <xf numFmtId="0" fontId="15" fillId="4" borderId="108" xfId="0" applyFont="1" applyFill="1" applyBorder="1" applyAlignment="1">
      <alignment horizontal="center" vertical="top" wrapText="1"/>
    </xf>
    <xf numFmtId="0" fontId="15" fillId="4" borderId="109"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104" xfId="0"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110" xfId="0" applyFont="1" applyFill="1" applyBorder="1" applyAlignment="1">
      <alignment horizontal="center" vertical="top" wrapText="1"/>
    </xf>
    <xf numFmtId="1" fontId="9" fillId="0" borderId="0" xfId="76" applyNumberFormat="1" applyFont="1" applyFill="1" applyBorder="1" applyAlignment="1">
      <alignment horizontal="center" vertical="top" wrapText="1"/>
    </xf>
    <xf numFmtId="1" fontId="9" fillId="0" borderId="2" xfId="76" applyNumberFormat="1" applyFont="1" applyFill="1" applyBorder="1" applyAlignment="1">
      <alignment horizontal="center" vertical="top" wrapText="1"/>
    </xf>
    <xf numFmtId="0" fontId="9" fillId="15" borderId="7" xfId="0" applyFont="1" applyFill="1" applyBorder="1" applyAlignment="1">
      <alignment horizontal="left" vertical="top" wrapText="1"/>
    </xf>
    <xf numFmtId="0" fontId="21" fillId="0" borderId="7" xfId="0" applyFont="1" applyBorder="1" applyAlignment="1">
      <alignment horizontal="left" vertical="top"/>
    </xf>
    <xf numFmtId="0" fontId="21" fillId="0" borderId="0" xfId="0" applyFont="1" applyBorder="1" applyAlignment="1">
      <alignment horizontal="left" vertical="top"/>
    </xf>
    <xf numFmtId="0" fontId="9" fillId="14" borderId="7" xfId="0" applyFont="1" applyFill="1" applyBorder="1" applyAlignment="1">
      <alignment horizontal="center" vertical="top" wrapText="1"/>
    </xf>
    <xf numFmtId="0" fontId="9" fillId="14" borderId="0" xfId="0" applyFont="1" applyFill="1" applyBorder="1" applyAlignment="1">
      <alignment horizontal="center" vertical="top" wrapText="1"/>
    </xf>
    <xf numFmtId="0" fontId="9" fillId="14" borderId="2" xfId="0" applyFont="1" applyFill="1" applyBorder="1" applyAlignment="1">
      <alignment horizontal="center" vertical="top" wrapText="1"/>
    </xf>
    <xf numFmtId="0" fontId="9" fillId="0" borderId="13" xfId="0" applyFont="1" applyBorder="1" applyAlignment="1">
      <alignment horizontal="left" vertical="top" wrapText="1"/>
    </xf>
    <xf numFmtId="0" fontId="9" fillId="0" borderId="8" xfId="0" applyFont="1" applyBorder="1" applyAlignment="1">
      <alignment horizontal="left" vertical="top" wrapText="1"/>
    </xf>
    <xf numFmtId="0" fontId="21" fillId="0" borderId="12" xfId="0" applyFont="1" applyFill="1" applyBorder="1" applyAlignment="1">
      <alignment horizontal="left"/>
    </xf>
    <xf numFmtId="0" fontId="21" fillId="0" borderId="11" xfId="0" applyFont="1" applyFill="1" applyBorder="1" applyAlignment="1">
      <alignment horizontal="left"/>
    </xf>
    <xf numFmtId="0" fontId="15" fillId="9" borderId="88" xfId="0" applyFont="1" applyFill="1" applyBorder="1" applyAlignment="1">
      <alignment vertical="top" wrapText="1"/>
    </xf>
    <xf numFmtId="0" fontId="15" fillId="4" borderId="107" xfId="0" applyFont="1" applyFill="1" applyBorder="1" applyAlignment="1">
      <alignment vertical="top" wrapText="1"/>
    </xf>
    <xf numFmtId="0" fontId="9" fillId="0" borderId="108" xfId="0" applyFont="1" applyBorder="1" applyAlignment="1">
      <alignment vertical="top" wrapText="1"/>
    </xf>
    <xf numFmtId="0" fontId="9" fillId="0" borderId="109" xfId="0" applyFont="1" applyBorder="1" applyAlignment="1">
      <alignment vertical="top" wrapText="1"/>
    </xf>
    <xf numFmtId="0" fontId="15" fillId="4" borderId="108" xfId="0" applyFont="1" applyFill="1" applyBorder="1" applyAlignment="1">
      <alignment vertical="top" wrapText="1"/>
    </xf>
    <xf numFmtId="0" fontId="15" fillId="4" borderId="109" xfId="0" applyFont="1" applyFill="1" applyBorder="1" applyAlignment="1">
      <alignment vertical="top" wrapText="1"/>
    </xf>
    <xf numFmtId="0" fontId="15" fillId="4" borderId="107" xfId="0" applyFont="1" applyFill="1" applyBorder="1" applyAlignment="1">
      <alignment horizontal="left" vertical="top" wrapText="1"/>
    </xf>
    <xf numFmtId="0" fontId="15" fillId="4" borderId="108" xfId="0" applyFont="1" applyFill="1" applyBorder="1" applyAlignment="1">
      <alignment horizontal="left" vertical="top" wrapText="1"/>
    </xf>
    <xf numFmtId="0" fontId="15" fillId="4" borderId="109" xfId="0" applyFont="1" applyFill="1" applyBorder="1" applyAlignment="1">
      <alignment horizontal="left" vertical="top" wrapText="1"/>
    </xf>
    <xf numFmtId="0" fontId="9" fillId="0" borderId="104" xfId="0" applyFont="1" applyBorder="1" applyAlignment="1">
      <alignment horizontal="left" vertical="center" wrapText="1"/>
    </xf>
    <xf numFmtId="0" fontId="9" fillId="0" borderId="1" xfId="0" applyFont="1" applyBorder="1" applyAlignment="1">
      <alignment horizontal="left" vertical="center" wrapText="1"/>
    </xf>
    <xf numFmtId="0" fontId="9" fillId="0" borderId="110" xfId="0" applyFont="1" applyBorder="1" applyAlignment="1">
      <alignment horizontal="left" vertical="center" wrapText="1"/>
    </xf>
    <xf numFmtId="0" fontId="15" fillId="0" borderId="104" xfId="0" applyFont="1" applyBorder="1" applyAlignment="1">
      <alignment horizontal="center" vertical="top" wrapText="1"/>
    </xf>
    <xf numFmtId="0" fontId="9" fillId="0" borderId="110" xfId="0" applyFont="1" applyBorder="1" applyAlignment="1">
      <alignment horizontal="center" vertical="top" wrapText="1"/>
    </xf>
    <xf numFmtId="9" fontId="9" fillId="0" borderId="0" xfId="0" applyNumberFormat="1" applyFont="1" applyFill="1" applyBorder="1" applyAlignment="1">
      <alignment horizontal="center" vertical="top" wrapText="1"/>
    </xf>
    <xf numFmtId="9" fontId="9" fillId="0" borderId="2" xfId="0" applyNumberFormat="1" applyFont="1" applyFill="1" applyBorder="1" applyAlignment="1">
      <alignment horizontal="center" vertical="top" wrapText="1"/>
    </xf>
    <xf numFmtId="9" fontId="9" fillId="0" borderId="121" xfId="0" applyNumberFormat="1" applyFont="1" applyFill="1" applyBorder="1" applyAlignment="1">
      <alignment horizontal="center" vertical="top" wrapText="1"/>
    </xf>
    <xf numFmtId="9" fontId="9" fillId="0" borderId="134" xfId="0" applyNumberFormat="1" applyFont="1" applyFill="1" applyBorder="1" applyAlignment="1">
      <alignment horizontal="center" vertical="top" wrapText="1"/>
    </xf>
    <xf numFmtId="1" fontId="9" fillId="0" borderId="0" xfId="0" applyNumberFormat="1" applyFont="1" applyFill="1" applyBorder="1" applyAlignment="1">
      <alignment horizontal="center" vertical="top" wrapText="1"/>
    </xf>
    <xf numFmtId="1" fontId="9" fillId="0" borderId="2" xfId="0" applyNumberFormat="1" applyFont="1" applyFill="1" applyBorder="1" applyAlignment="1">
      <alignment horizontal="center" vertical="top" wrapText="1"/>
    </xf>
    <xf numFmtId="9" fontId="9" fillId="17" borderId="101" xfId="0" applyNumberFormat="1" applyFont="1" applyFill="1" applyBorder="1" applyAlignment="1">
      <alignment horizontal="left" vertical="top" wrapText="1"/>
    </xf>
    <xf numFmtId="9" fontId="9" fillId="17" borderId="102" xfId="0" applyNumberFormat="1" applyFont="1" applyFill="1" applyBorder="1" applyAlignment="1">
      <alignment horizontal="left" vertical="top" wrapText="1"/>
    </xf>
    <xf numFmtId="9" fontId="9" fillId="17" borderId="103" xfId="0" applyNumberFormat="1" applyFont="1" applyFill="1" applyBorder="1" applyAlignment="1">
      <alignment horizontal="left" vertical="top" wrapText="1"/>
    </xf>
    <xf numFmtId="9" fontId="9" fillId="0" borderId="101" xfId="0" applyNumberFormat="1" applyFont="1" applyFill="1" applyBorder="1" applyAlignment="1">
      <alignment horizontal="left" vertical="top" wrapText="1"/>
    </xf>
    <xf numFmtId="9" fontId="9" fillId="0" borderId="103" xfId="0" applyNumberFormat="1" applyFont="1" applyFill="1" applyBorder="1" applyAlignment="1">
      <alignment horizontal="left" vertical="top" wrapText="1"/>
    </xf>
    <xf numFmtId="1" fontId="9" fillId="0" borderId="8" xfId="0" applyNumberFormat="1" applyFont="1" applyFill="1" applyBorder="1" applyAlignment="1">
      <alignment horizontal="center" vertical="top" wrapText="1"/>
    </xf>
    <xf numFmtId="1" fontId="9" fillId="0" borderId="9" xfId="0" applyNumberFormat="1" applyFont="1" applyFill="1" applyBorder="1" applyAlignment="1">
      <alignment horizontal="center" vertical="top" wrapText="1"/>
    </xf>
    <xf numFmtId="9" fontId="9" fillId="0" borderId="7" xfId="0" applyNumberFormat="1" applyFont="1" applyFill="1" applyBorder="1" applyAlignment="1">
      <alignment horizontal="left" vertical="top" wrapText="1"/>
    </xf>
    <xf numFmtId="9" fontId="9" fillId="0" borderId="0" xfId="0" applyNumberFormat="1" applyFont="1" applyFill="1" applyBorder="1" applyAlignment="1">
      <alignment horizontal="left" vertical="top" wrapText="1"/>
    </xf>
    <xf numFmtId="9" fontId="9" fillId="0" borderId="2" xfId="0" applyNumberFormat="1" applyFont="1" applyFill="1" applyBorder="1" applyAlignment="1">
      <alignment horizontal="left" vertical="top" wrapText="1"/>
    </xf>
    <xf numFmtId="3" fontId="9" fillId="0" borderId="101" xfId="0" applyNumberFormat="1" applyFont="1" applyFill="1" applyBorder="1" applyAlignment="1">
      <alignment horizontal="left" vertical="top" wrapText="1"/>
    </xf>
    <xf numFmtId="3" fontId="9" fillId="0" borderId="102" xfId="0" applyNumberFormat="1" applyFont="1" applyFill="1" applyBorder="1" applyAlignment="1">
      <alignment horizontal="left" vertical="top" wrapText="1"/>
    </xf>
    <xf numFmtId="3" fontId="9" fillId="0" borderId="103" xfId="0" applyNumberFormat="1" applyFont="1" applyFill="1" applyBorder="1" applyAlignment="1">
      <alignment horizontal="left" vertical="top" wrapText="1"/>
    </xf>
    <xf numFmtId="3" fontId="9" fillId="17" borderId="101" xfId="0" applyNumberFormat="1" applyFont="1" applyFill="1" applyBorder="1" applyAlignment="1">
      <alignment horizontal="left" vertical="top" wrapText="1"/>
    </xf>
    <xf numFmtId="3" fontId="9" fillId="17" borderId="102" xfId="0" applyNumberFormat="1" applyFont="1" applyFill="1" applyBorder="1" applyAlignment="1">
      <alignment horizontal="left" vertical="top" wrapText="1"/>
    </xf>
    <xf numFmtId="3" fontId="9" fillId="17" borderId="103" xfId="0" applyNumberFormat="1" applyFont="1" applyFill="1" applyBorder="1" applyAlignment="1">
      <alignment horizontal="left" vertical="top" wrapText="1"/>
    </xf>
    <xf numFmtId="0" fontId="15" fillId="0" borderId="101" xfId="0" applyFont="1" applyBorder="1" applyAlignment="1">
      <alignment horizontal="center" vertical="top" wrapText="1"/>
    </xf>
    <xf numFmtId="0" fontId="15" fillId="0" borderId="7" xfId="0" applyFont="1" applyBorder="1" applyAlignment="1">
      <alignment horizontal="center" vertical="top" wrapText="1"/>
    </xf>
    <xf numFmtId="9" fontId="9" fillId="17" borderId="107" xfId="0" applyNumberFormat="1" applyFont="1" applyFill="1" applyBorder="1" applyAlignment="1">
      <alignment horizontal="left" vertical="top" wrapText="1"/>
    </xf>
    <xf numFmtId="9" fontId="9" fillId="17" borderId="108"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5" fillId="0" borderId="1" xfId="0" applyFont="1" applyBorder="1" applyAlignment="1">
      <alignment horizontal="center" vertical="top" wrapText="1"/>
    </xf>
    <xf numFmtId="0" fontId="15" fillId="0" borderId="104" xfId="0" applyFont="1" applyBorder="1" applyAlignment="1">
      <alignment horizontal="left" vertical="top" wrapText="1"/>
    </xf>
    <xf numFmtId="0" fontId="15" fillId="0" borderId="1" xfId="0" applyFont="1" applyBorder="1" applyAlignment="1">
      <alignment horizontal="left" vertical="top" wrapText="1"/>
    </xf>
    <xf numFmtId="9" fontId="9" fillId="17" borderId="108" xfId="0" applyNumberFormat="1" applyFont="1" applyFill="1" applyBorder="1" applyAlignment="1">
      <alignment horizontal="center" vertical="top" wrapText="1"/>
    </xf>
    <xf numFmtId="9" fontId="9" fillId="17" borderId="109" xfId="0" applyNumberFormat="1" applyFont="1" applyFill="1" applyBorder="1" applyAlignment="1">
      <alignment horizontal="center" vertical="top" wrapText="1"/>
    </xf>
    <xf numFmtId="0" fontId="9" fillId="0" borderId="36" xfId="1" applyFont="1" applyFill="1" applyBorder="1" applyAlignment="1">
      <alignment horizontal="center" vertical="top" wrapText="1"/>
    </xf>
    <xf numFmtId="0" fontId="9" fillId="0" borderId="37" xfId="1" applyFont="1" applyFill="1" applyBorder="1" applyAlignment="1">
      <alignment horizontal="center" vertical="top" wrapText="1"/>
    </xf>
    <xf numFmtId="9" fontId="9" fillId="15" borderId="36" xfId="0" applyNumberFormat="1" applyFont="1" applyFill="1" applyBorder="1" applyAlignment="1">
      <alignment horizontal="center" vertical="top" wrapText="1"/>
    </xf>
    <xf numFmtId="0" fontId="9" fillId="15" borderId="36" xfId="0" applyFont="1" applyFill="1" applyBorder="1" applyAlignment="1">
      <alignment horizontal="center" vertical="top" wrapText="1"/>
    </xf>
    <xf numFmtId="0" fontId="9" fillId="15" borderId="37" xfId="0" applyFont="1" applyFill="1" applyBorder="1" applyAlignment="1">
      <alignment horizontal="center" vertical="top" wrapText="1"/>
    </xf>
    <xf numFmtId="0" fontId="9" fillId="17" borderId="101" xfId="0" applyFont="1" applyFill="1" applyBorder="1" applyAlignment="1">
      <alignment horizontal="center" vertical="center" wrapText="1"/>
    </xf>
    <xf numFmtId="0" fontId="9" fillId="17" borderId="102" xfId="0" applyFont="1" applyFill="1" applyBorder="1" applyAlignment="1">
      <alignment horizontal="center" vertical="center" wrapText="1"/>
    </xf>
    <xf numFmtId="0" fontId="9" fillId="17" borderId="10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9" fillId="17" borderId="0" xfId="0" applyFont="1" applyFill="1" applyBorder="1" applyAlignment="1">
      <alignment horizontal="center" vertical="center" wrapText="1"/>
    </xf>
    <xf numFmtId="0" fontId="9" fillId="17" borderId="2" xfId="0" applyFont="1" applyFill="1" applyBorder="1" applyAlignment="1">
      <alignment horizontal="center" vertical="center" wrapText="1"/>
    </xf>
    <xf numFmtId="0" fontId="9" fillId="17" borderId="107" xfId="0" applyFont="1" applyFill="1" applyBorder="1" applyAlignment="1">
      <alignment horizontal="center" vertical="center" wrapText="1"/>
    </xf>
    <xf numFmtId="0" fontId="9" fillId="17" borderId="108" xfId="0" applyFont="1" applyFill="1" applyBorder="1" applyAlignment="1">
      <alignment horizontal="center" vertical="center" wrapText="1"/>
    </xf>
    <xf numFmtId="0" fontId="9" fillId="17" borderId="109" xfId="0" applyFont="1" applyFill="1" applyBorder="1" applyAlignment="1">
      <alignment horizontal="center" vertical="center" wrapText="1"/>
    </xf>
    <xf numFmtId="0" fontId="9" fillId="15" borderId="107" xfId="0" applyFont="1" applyFill="1" applyBorder="1" applyAlignment="1">
      <alignment horizontal="left" vertical="top" wrapText="1"/>
    </xf>
    <xf numFmtId="0" fontId="9" fillId="15" borderId="108" xfId="0" applyFont="1" applyFill="1" applyBorder="1" applyAlignment="1">
      <alignment horizontal="left" vertical="top" wrapText="1"/>
    </xf>
    <xf numFmtId="0" fontId="9" fillId="0" borderId="107" xfId="0" applyFont="1" applyFill="1" applyBorder="1" applyAlignment="1">
      <alignment horizontal="center" vertical="top" wrapText="1"/>
    </xf>
    <xf numFmtId="0" fontId="9" fillId="0" borderId="35" xfId="0" applyFont="1" applyFill="1" applyBorder="1" applyAlignment="1">
      <alignment horizontal="left" vertical="top" wrapText="1"/>
    </xf>
    <xf numFmtId="0" fontId="9" fillId="0" borderId="36" xfId="0" applyFont="1" applyFill="1" applyBorder="1" applyAlignment="1">
      <alignment horizontal="left" vertical="top" wrapText="1"/>
    </xf>
    <xf numFmtId="0" fontId="9" fillId="17" borderId="7" xfId="0" applyFont="1" applyFill="1" applyBorder="1" applyAlignment="1">
      <alignment horizontal="center" vertical="top" wrapText="1"/>
    </xf>
    <xf numFmtId="0" fontId="9" fillId="17" borderId="0" xfId="0" applyFont="1" applyFill="1" applyBorder="1" applyAlignment="1">
      <alignment horizontal="center" vertical="top" wrapText="1"/>
    </xf>
    <xf numFmtId="0" fontId="9" fillId="17" borderId="2" xfId="0" applyFont="1" applyFill="1" applyBorder="1" applyAlignment="1">
      <alignment horizontal="center" vertical="top" wrapText="1"/>
    </xf>
    <xf numFmtId="0" fontId="15" fillId="17" borderId="88" xfId="0" applyFont="1" applyFill="1" applyBorder="1" applyAlignment="1">
      <alignment horizontal="left" vertical="top" wrapText="1"/>
    </xf>
    <xf numFmtId="0" fontId="15" fillId="17" borderId="89" xfId="0" applyFont="1" applyFill="1" applyBorder="1" applyAlignment="1">
      <alignment horizontal="left" vertical="top" wrapText="1"/>
    </xf>
    <xf numFmtId="0" fontId="15" fillId="17" borderId="90" xfId="0" applyFont="1" applyFill="1" applyBorder="1" applyAlignment="1">
      <alignment horizontal="left" vertical="top" wrapText="1"/>
    </xf>
    <xf numFmtId="0" fontId="9" fillId="0" borderId="107" xfId="0" applyFont="1" applyBorder="1" applyAlignment="1">
      <alignment horizontal="left" vertical="top" wrapText="1"/>
    </xf>
    <xf numFmtId="0" fontId="9" fillId="0" borderId="0" xfId="0" applyFont="1" applyFill="1" applyBorder="1" applyAlignment="1">
      <alignment horizontal="center" vertical="top" wrapText="1"/>
    </xf>
    <xf numFmtId="0" fontId="9" fillId="0" borderId="1" xfId="0" applyFont="1" applyBorder="1" applyAlignment="1">
      <alignment vertical="top"/>
    </xf>
    <xf numFmtId="0" fontId="9" fillId="15" borderId="104" xfId="0" applyFont="1" applyFill="1" applyBorder="1" applyAlignment="1">
      <alignment vertical="top" wrapText="1"/>
    </xf>
    <xf numFmtId="0" fontId="9" fillId="15" borderId="1" xfId="0" applyFont="1" applyFill="1" applyBorder="1" applyAlignment="1">
      <alignment vertical="top" wrapText="1"/>
    </xf>
    <xf numFmtId="0" fontId="15" fillId="0" borderId="110" xfId="0" applyFont="1" applyBorder="1" applyAlignment="1">
      <alignment horizontal="left" vertical="top" wrapText="1"/>
    </xf>
    <xf numFmtId="0" fontId="9" fillId="17" borderId="107" xfId="0" applyFont="1" applyFill="1" applyBorder="1" applyAlignment="1">
      <alignment horizontal="center" vertical="top" wrapText="1"/>
    </xf>
    <xf numFmtId="0" fontId="9" fillId="17" borderId="108" xfId="0" applyFont="1" applyFill="1" applyBorder="1" applyAlignment="1">
      <alignment horizontal="center" vertical="top" wrapText="1"/>
    </xf>
    <xf numFmtId="0" fontId="9" fillId="0" borderId="7" xfId="0" applyFont="1" applyBorder="1" applyAlignment="1">
      <alignment vertical="top" wrapText="1"/>
    </xf>
    <xf numFmtId="0" fontId="15" fillId="0" borderId="101" xfId="0" applyFont="1" applyBorder="1" applyAlignment="1">
      <alignment horizontal="left" vertical="top" wrapText="1"/>
    </xf>
    <xf numFmtId="0" fontId="15" fillId="0" borderId="7" xfId="0" applyFont="1" applyBorder="1" applyAlignment="1">
      <alignment horizontal="left" vertical="top" wrapText="1"/>
    </xf>
    <xf numFmtId="0" fontId="15" fillId="17" borderId="89" xfId="0" applyFont="1" applyFill="1" applyBorder="1" applyAlignment="1">
      <alignment horizontal="center" vertical="top" wrapText="1"/>
    </xf>
    <xf numFmtId="0" fontId="15" fillId="17" borderId="90" xfId="0" applyFont="1" applyFill="1" applyBorder="1" applyAlignment="1">
      <alignment horizontal="center" vertical="top" wrapText="1"/>
    </xf>
    <xf numFmtId="9" fontId="9" fillId="0" borderId="88" xfId="76" applyFont="1" applyBorder="1" applyAlignment="1">
      <alignment horizontal="center" vertical="top" wrapText="1"/>
    </xf>
    <xf numFmtId="9" fontId="9" fillId="0" borderId="89" xfId="76" applyFont="1" applyBorder="1" applyAlignment="1">
      <alignment horizontal="center" vertical="top" wrapText="1"/>
    </xf>
    <xf numFmtId="9" fontId="9" fillId="0" borderId="90" xfId="76" applyFont="1" applyBorder="1" applyAlignment="1">
      <alignment horizontal="center" vertical="top" wrapText="1"/>
    </xf>
    <xf numFmtId="0" fontId="9" fillId="17" borderId="88" xfId="0" applyFont="1" applyFill="1" applyBorder="1" applyAlignment="1">
      <alignment horizontal="center" vertical="top" wrapText="1"/>
    </xf>
    <xf numFmtId="0" fontId="9" fillId="17" borderId="89" xfId="0" applyFont="1" applyFill="1" applyBorder="1" applyAlignment="1">
      <alignment horizontal="center" vertical="top" wrapText="1"/>
    </xf>
    <xf numFmtId="0" fontId="9" fillId="17" borderId="90" xfId="0" applyFont="1" applyFill="1" applyBorder="1" applyAlignment="1">
      <alignment horizontal="center" vertical="top" wrapText="1"/>
    </xf>
    <xf numFmtId="0" fontId="15" fillId="4" borderId="107" xfId="0" applyFont="1" applyFill="1" applyBorder="1" applyAlignment="1">
      <alignment horizontal="center" vertical="top" wrapText="1"/>
    </xf>
    <xf numFmtId="0" fontId="9" fillId="0" borderId="101" xfId="0" applyFont="1" applyBorder="1" applyAlignment="1">
      <alignment horizontal="left" vertical="top" wrapText="1"/>
    </xf>
    <xf numFmtId="0" fontId="9" fillId="17" borderId="102" xfId="0" applyFont="1" applyFill="1" applyBorder="1" applyAlignment="1">
      <alignment horizontal="left" wrapText="1"/>
    </xf>
    <xf numFmtId="0" fontId="9" fillId="17" borderId="101" xfId="0" applyFont="1" applyFill="1" applyBorder="1" applyAlignment="1">
      <alignment horizontal="left"/>
    </xf>
    <xf numFmtId="0" fontId="9" fillId="17" borderId="102" xfId="0" applyFont="1" applyFill="1" applyBorder="1" applyAlignment="1">
      <alignment horizontal="left"/>
    </xf>
    <xf numFmtId="0" fontId="9" fillId="17" borderId="103" xfId="0" applyFont="1" applyFill="1" applyBorder="1" applyAlignment="1">
      <alignment horizontal="left"/>
    </xf>
    <xf numFmtId="0" fontId="9" fillId="17" borderId="7" xfId="0" applyFont="1" applyFill="1" applyBorder="1" applyAlignment="1">
      <alignment horizontal="left"/>
    </xf>
    <xf numFmtId="0" fontId="9" fillId="17" borderId="0" xfId="0" applyFont="1" applyFill="1" applyBorder="1" applyAlignment="1">
      <alignment horizontal="left"/>
    </xf>
    <xf numFmtId="0" fontId="9" fillId="17" borderId="2" xfId="0" applyFont="1" applyFill="1" applyBorder="1" applyAlignment="1">
      <alignment horizontal="left"/>
    </xf>
    <xf numFmtId="0" fontId="9" fillId="17" borderId="107" xfId="0" applyFont="1" applyFill="1" applyBorder="1" applyAlignment="1">
      <alignment horizontal="left"/>
    </xf>
    <xf numFmtId="0" fontId="9" fillId="17" borderId="117" xfId="0" applyFont="1" applyFill="1" applyBorder="1" applyAlignment="1">
      <alignment horizontal="left"/>
    </xf>
    <xf numFmtId="0" fontId="9" fillId="17" borderId="115" xfId="0" applyFont="1" applyFill="1" applyBorder="1" applyAlignment="1">
      <alignment horizontal="left"/>
    </xf>
    <xf numFmtId="0" fontId="15" fillId="4" borderId="7"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4" borderId="2" xfId="0" applyFont="1" applyFill="1" applyBorder="1" applyAlignment="1">
      <alignment horizontal="left" vertical="top" wrapText="1"/>
    </xf>
    <xf numFmtId="0" fontId="9" fillId="0" borderId="120" xfId="0" applyFont="1" applyBorder="1" applyAlignment="1">
      <alignment horizontal="center" vertical="top"/>
    </xf>
    <xf numFmtId="0" fontId="9" fillId="0" borderId="121" xfId="0" applyFont="1" applyBorder="1" applyAlignment="1">
      <alignment horizontal="center" vertical="top"/>
    </xf>
    <xf numFmtId="0" fontId="9" fillId="0" borderId="122" xfId="0" applyFont="1" applyBorder="1" applyAlignment="1">
      <alignment horizontal="center" vertical="top"/>
    </xf>
    <xf numFmtId="0" fontId="17" fillId="0" borderId="0" xfId="0" applyFont="1" applyAlignment="1">
      <alignment horizontal="left" vertical="center" wrapText="1"/>
    </xf>
    <xf numFmtId="0" fontId="15" fillId="3" borderId="116" xfId="0" applyFont="1" applyFill="1" applyBorder="1" applyAlignment="1">
      <alignment vertical="top" wrapText="1"/>
    </xf>
    <xf numFmtId="0" fontId="15" fillId="3" borderId="110" xfId="0" applyFont="1" applyFill="1" applyBorder="1" applyAlignment="1">
      <alignment vertical="top" wrapText="1"/>
    </xf>
    <xf numFmtId="0" fontId="20" fillId="11" borderId="101" xfId="0" applyFont="1" applyFill="1" applyBorder="1" applyAlignment="1">
      <alignment vertical="top" wrapText="1"/>
    </xf>
    <xf numFmtId="0" fontId="20" fillId="11" borderId="102" xfId="0" applyFont="1" applyFill="1" applyBorder="1" applyAlignment="1">
      <alignment vertical="top" wrapText="1"/>
    </xf>
    <xf numFmtId="0" fontId="20" fillId="11" borderId="103" xfId="0" applyFont="1" applyFill="1" applyBorder="1" applyAlignment="1">
      <alignment vertical="top" wrapText="1"/>
    </xf>
    <xf numFmtId="0" fontId="20" fillId="11" borderId="107" xfId="0" applyFont="1" applyFill="1" applyBorder="1" applyAlignment="1">
      <alignment vertical="top" wrapText="1"/>
    </xf>
    <xf numFmtId="0" fontId="20" fillId="11" borderId="108" xfId="0" applyFont="1" applyFill="1" applyBorder="1" applyAlignment="1">
      <alignment vertical="top" wrapText="1"/>
    </xf>
    <xf numFmtId="0" fontId="20" fillId="11" borderId="109" xfId="0" applyFont="1" applyFill="1" applyBorder="1" applyAlignment="1">
      <alignment vertical="top" wrapText="1"/>
    </xf>
    <xf numFmtId="0" fontId="15" fillId="8" borderId="104" xfId="0" applyFont="1" applyFill="1" applyBorder="1" applyAlignment="1">
      <alignment vertical="top" wrapText="1"/>
    </xf>
    <xf numFmtId="0" fontId="15" fillId="8" borderId="110" xfId="0" applyFont="1" applyFill="1" applyBorder="1" applyAlignment="1">
      <alignment vertical="top" wrapText="1"/>
    </xf>
    <xf numFmtId="0" fontId="9" fillId="0" borderId="110" xfId="0" applyFont="1" applyBorder="1" applyAlignment="1">
      <alignment vertical="center" wrapText="1"/>
    </xf>
    <xf numFmtId="3" fontId="11" fillId="15" borderId="89" xfId="0" applyNumberFormat="1" applyFont="1" applyFill="1" applyBorder="1" applyAlignment="1">
      <alignment horizontal="left" vertical="top" wrapText="1"/>
    </xf>
    <xf numFmtId="3" fontId="11" fillId="15" borderId="90" xfId="0" applyNumberFormat="1" applyFont="1" applyFill="1" applyBorder="1" applyAlignment="1">
      <alignment horizontal="left" vertical="top" wrapText="1"/>
    </xf>
    <xf numFmtId="3" fontId="11" fillId="0" borderId="88" xfId="0" applyNumberFormat="1" applyFont="1" applyBorder="1" applyAlignment="1">
      <alignment horizontal="left" vertical="top" wrapText="1"/>
    </xf>
    <xf numFmtId="3" fontId="11" fillId="0" borderId="89" xfId="0" applyNumberFormat="1" applyFont="1" applyBorder="1" applyAlignment="1">
      <alignment horizontal="left" vertical="top" wrapText="1"/>
    </xf>
    <xf numFmtId="0" fontId="15" fillId="18" borderId="101" xfId="0" applyFont="1" applyFill="1" applyBorder="1" applyAlignment="1">
      <alignment horizontal="left" vertical="top" wrapText="1"/>
    </xf>
    <xf numFmtId="0" fontId="15" fillId="18" borderId="102" xfId="0" applyFont="1" applyFill="1" applyBorder="1" applyAlignment="1">
      <alignment horizontal="left" vertical="top" wrapText="1"/>
    </xf>
    <xf numFmtId="0" fontId="15" fillId="18" borderId="103" xfId="0" applyFont="1" applyFill="1" applyBorder="1" applyAlignment="1">
      <alignment horizontal="left" vertical="top" wrapText="1"/>
    </xf>
    <xf numFmtId="0" fontId="11" fillId="15" borderId="88" xfId="0" applyFont="1" applyFill="1" applyBorder="1" applyAlignment="1">
      <alignment horizontal="left" vertical="top" wrapText="1"/>
    </xf>
    <xf numFmtId="0" fontId="11" fillId="15" borderId="89" xfId="0" applyFont="1" applyFill="1" applyBorder="1" applyAlignment="1">
      <alignment horizontal="left" vertical="top" wrapText="1"/>
    </xf>
    <xf numFmtId="3" fontId="11" fillId="17" borderId="2" xfId="0" applyNumberFormat="1" applyFont="1" applyFill="1" applyBorder="1" applyAlignment="1">
      <alignment horizontal="left" vertical="top" wrapText="1"/>
    </xf>
    <xf numFmtId="3" fontId="9" fillId="0" borderId="122" xfId="0" applyNumberFormat="1" applyFont="1" applyBorder="1" applyAlignment="1">
      <alignment horizontal="center" vertical="top" wrapText="1"/>
    </xf>
    <xf numFmtId="3" fontId="11" fillId="0" borderId="122" xfId="0" applyNumberFormat="1" applyFont="1" applyBorder="1" applyAlignment="1">
      <alignment horizontal="center" vertical="top" wrapText="1"/>
    </xf>
    <xf numFmtId="3" fontId="11" fillId="15" borderId="131" xfId="0" applyNumberFormat="1" applyFont="1" applyFill="1" applyBorder="1" applyAlignment="1">
      <alignment horizontal="left" vertical="top" wrapText="1"/>
    </xf>
    <xf numFmtId="3" fontId="11" fillId="0" borderId="89" xfId="0" applyNumberFormat="1" applyFont="1" applyBorder="1" applyAlignment="1">
      <alignment horizontal="center" vertical="top" wrapText="1"/>
    </xf>
    <xf numFmtId="3" fontId="9" fillId="0" borderId="131" xfId="0" applyNumberFormat="1" applyFont="1" applyFill="1" applyBorder="1" applyAlignment="1">
      <alignment horizontal="center" vertical="top" wrapText="1"/>
    </xf>
    <xf numFmtId="3" fontId="9" fillId="0" borderId="89" xfId="0" applyNumberFormat="1" applyFont="1" applyFill="1" applyBorder="1" applyAlignment="1">
      <alignment horizontal="center" vertical="top" wrapText="1"/>
    </xf>
    <xf numFmtId="3" fontId="9" fillId="0" borderId="90" xfId="0" applyNumberFormat="1" applyFont="1" applyFill="1" applyBorder="1" applyAlignment="1">
      <alignment horizontal="center" vertical="top" wrapText="1"/>
    </xf>
    <xf numFmtId="3" fontId="9" fillId="0" borderId="89" xfId="0" applyNumberFormat="1" applyFont="1" applyBorder="1" applyAlignment="1">
      <alignment horizontal="center" vertical="top" wrapText="1"/>
    </xf>
    <xf numFmtId="3" fontId="9" fillId="0" borderId="90" xfId="0" applyNumberFormat="1" applyFont="1" applyBorder="1" applyAlignment="1">
      <alignment horizontal="center" vertical="top" wrapText="1"/>
    </xf>
    <xf numFmtId="0" fontId="9" fillId="0" borderId="1" xfId="0" applyFont="1" applyBorder="1" applyAlignment="1"/>
    <xf numFmtId="0" fontId="9" fillId="0" borderId="110" xfId="0" applyFont="1" applyBorder="1" applyAlignment="1"/>
    <xf numFmtId="0" fontId="20" fillId="4" borderId="107" xfId="0" applyFont="1" applyFill="1" applyBorder="1" applyAlignment="1">
      <alignment horizontal="center" vertical="top" wrapText="1"/>
    </xf>
    <xf numFmtId="0" fontId="20" fillId="4" borderId="117" xfId="0" applyFont="1" applyFill="1" applyBorder="1" applyAlignment="1">
      <alignment horizontal="center" vertical="top" wrapText="1"/>
    </xf>
    <xf numFmtId="0" fontId="20" fillId="4" borderId="115" xfId="0" applyFont="1" applyFill="1" applyBorder="1" applyAlignment="1">
      <alignment horizontal="center" vertical="top" wrapText="1"/>
    </xf>
    <xf numFmtId="0" fontId="11" fillId="0" borderId="103" xfId="0" applyFont="1" applyFill="1" applyBorder="1" applyAlignment="1">
      <alignment horizontal="left" vertical="top" wrapText="1"/>
    </xf>
    <xf numFmtId="0" fontId="20" fillId="6" borderId="88" xfId="0" applyFont="1" applyFill="1" applyBorder="1" applyAlignment="1">
      <alignment horizontal="left" vertical="top" wrapText="1"/>
    </xf>
    <xf numFmtId="0" fontId="20" fillId="6" borderId="89" xfId="0" applyFont="1" applyFill="1" applyBorder="1" applyAlignment="1">
      <alignment horizontal="left" vertical="top" wrapText="1"/>
    </xf>
    <xf numFmtId="0" fontId="20" fillId="6" borderId="90" xfId="0" applyFont="1" applyFill="1" applyBorder="1" applyAlignment="1">
      <alignment horizontal="left" vertical="top" wrapText="1"/>
    </xf>
    <xf numFmtId="0" fontId="20" fillId="0" borderId="88" xfId="0" applyFont="1" applyBorder="1" applyAlignment="1">
      <alignment horizontal="center" vertical="top" wrapText="1"/>
    </xf>
    <xf numFmtId="0" fontId="20" fillId="0" borderId="89" xfId="0" applyFont="1" applyBorder="1" applyAlignment="1">
      <alignment horizontal="center" vertical="top" wrapText="1"/>
    </xf>
    <xf numFmtId="0" fontId="20" fillId="0" borderId="90" xfId="0" applyFont="1" applyBorder="1" applyAlignment="1">
      <alignment horizontal="center" vertical="top" wrapText="1"/>
    </xf>
    <xf numFmtId="3" fontId="9" fillId="0" borderId="120" xfId="0" applyNumberFormat="1" applyFont="1" applyFill="1" applyBorder="1" applyAlignment="1">
      <alignment horizontal="center" vertical="top" wrapText="1"/>
    </xf>
    <xf numFmtId="3" fontId="9" fillId="0" borderId="121" xfId="0" applyNumberFormat="1" applyFont="1" applyFill="1" applyBorder="1" applyAlignment="1">
      <alignment horizontal="center" vertical="top" wrapText="1"/>
    </xf>
    <xf numFmtId="3" fontId="9" fillId="0" borderId="122" xfId="0" applyNumberFormat="1" applyFont="1" applyFill="1" applyBorder="1" applyAlignment="1">
      <alignment horizontal="center" vertical="top" wrapText="1"/>
    </xf>
    <xf numFmtId="0" fontId="11" fillId="0" borderId="110" xfId="0" applyFont="1" applyBorder="1" applyAlignment="1">
      <alignment horizontal="center" vertical="top" wrapText="1"/>
    </xf>
    <xf numFmtId="0" fontId="15" fillId="4" borderId="35" xfId="0" applyFont="1" applyFill="1" applyBorder="1" applyAlignment="1">
      <alignment horizontal="center" vertical="top" wrapText="1"/>
    </xf>
    <xf numFmtId="0" fontId="15" fillId="4" borderId="36" xfId="0" applyFont="1" applyFill="1" applyBorder="1" applyAlignment="1">
      <alignment horizontal="center" vertical="top" wrapText="1"/>
    </xf>
    <xf numFmtId="0" fontId="15" fillId="4" borderId="37" xfId="0" applyFont="1" applyFill="1" applyBorder="1" applyAlignment="1">
      <alignment horizontal="center" vertical="top" wrapText="1"/>
    </xf>
    <xf numFmtId="3" fontId="11" fillId="0" borderId="7" xfId="98" applyNumberFormat="1" applyFont="1" applyBorder="1" applyAlignment="1">
      <alignment horizontal="center" vertical="top" wrapText="1"/>
    </xf>
    <xf numFmtId="0" fontId="15" fillId="4" borderId="117" xfId="0" applyFont="1" applyFill="1" applyBorder="1" applyAlignment="1">
      <alignment horizontal="left" vertical="top" wrapText="1"/>
    </xf>
    <xf numFmtId="0" fontId="15" fillId="4" borderId="115" xfId="0" applyFont="1" applyFill="1" applyBorder="1" applyAlignment="1">
      <alignment horizontal="left" vertical="top" wrapText="1"/>
    </xf>
    <xf numFmtId="0" fontId="58" fillId="0" borderId="104" xfId="0" applyFont="1" applyFill="1" applyBorder="1" applyAlignment="1">
      <alignment horizontal="left" vertical="top" wrapText="1"/>
    </xf>
    <xf numFmtId="0" fontId="58" fillId="0" borderId="1" xfId="0" applyFont="1" applyFill="1" applyBorder="1" applyAlignment="1">
      <alignment horizontal="left" vertical="top" wrapText="1"/>
    </xf>
    <xf numFmtId="0" fontId="58" fillId="0" borderId="110" xfId="0" applyFont="1" applyFill="1" applyBorder="1" applyAlignment="1">
      <alignment horizontal="left" vertical="top" wrapText="1"/>
    </xf>
    <xf numFmtId="0" fontId="9" fillId="17" borderId="102" xfId="0" applyFont="1" applyFill="1" applyBorder="1" applyAlignment="1">
      <alignment horizontal="center" vertical="top" wrapText="1"/>
    </xf>
    <xf numFmtId="0" fontId="9" fillId="7" borderId="1" xfId="0" applyFont="1" applyFill="1" applyBorder="1" applyAlignment="1">
      <alignment horizontal="center" vertical="top" wrapText="1"/>
    </xf>
    <xf numFmtId="0" fontId="9" fillId="7" borderId="7" xfId="0" applyFont="1" applyFill="1" applyBorder="1" applyAlignment="1">
      <alignment horizontal="center" vertical="top" wrapText="1"/>
    </xf>
    <xf numFmtId="0" fontId="15" fillId="4" borderId="131" xfId="0" applyFont="1" applyFill="1" applyBorder="1" applyAlignment="1">
      <alignment horizontal="center" vertical="top" wrapText="1"/>
    </xf>
    <xf numFmtId="0" fontId="15" fillId="0" borderId="110" xfId="0" applyFont="1" applyBorder="1" applyAlignment="1">
      <alignment horizontal="center" vertical="top" wrapText="1"/>
    </xf>
    <xf numFmtId="3" fontId="11" fillId="17" borderId="108" xfId="0" applyNumberFormat="1" applyFont="1" applyFill="1" applyBorder="1" applyAlignment="1">
      <alignment horizontal="center" vertical="top" wrapText="1"/>
    </xf>
    <xf numFmtId="3" fontId="11" fillId="17" borderId="109" xfId="0" applyNumberFormat="1" applyFont="1" applyFill="1" applyBorder="1" applyAlignment="1">
      <alignment horizontal="center" vertical="top" wrapText="1"/>
    </xf>
    <xf numFmtId="3" fontId="11" fillId="0" borderId="13" xfId="0" applyNumberFormat="1" applyFont="1" applyFill="1" applyBorder="1" applyAlignment="1">
      <alignment horizontal="center" vertical="top" wrapText="1"/>
    </xf>
    <xf numFmtId="3" fontId="11" fillId="0" borderId="8" xfId="0" applyNumberFormat="1" applyFont="1" applyFill="1" applyBorder="1" applyAlignment="1">
      <alignment horizontal="center" vertical="top" wrapText="1"/>
    </xf>
    <xf numFmtId="3" fontId="11" fillId="0" borderId="9" xfId="0" applyNumberFormat="1" applyFont="1" applyFill="1" applyBorder="1" applyAlignment="1">
      <alignment horizontal="center" vertical="top" wrapText="1"/>
    </xf>
    <xf numFmtId="0" fontId="9" fillId="0" borderId="104" xfId="0" applyFont="1" applyBorder="1" applyAlignment="1">
      <alignment horizontal="center" vertical="top" wrapText="1"/>
    </xf>
    <xf numFmtId="0" fontId="15" fillId="8" borderId="101" xfId="0" applyFont="1" applyFill="1" applyBorder="1" applyAlignment="1">
      <alignment vertical="top" wrapText="1"/>
    </xf>
    <xf numFmtId="0" fontId="15" fillId="8" borderId="107" xfId="0" applyFont="1" applyFill="1" applyBorder="1" applyAlignment="1">
      <alignment vertical="top" wrapText="1"/>
    </xf>
    <xf numFmtId="3" fontId="11" fillId="0" borderId="13" xfId="0" applyNumberFormat="1" applyFont="1" applyBorder="1" applyAlignment="1">
      <alignment horizontal="left" vertical="top" wrapText="1"/>
    </xf>
    <xf numFmtId="3" fontId="11" fillId="0" borderId="8" xfId="0" applyNumberFormat="1" applyFont="1" applyBorder="1" applyAlignment="1">
      <alignment horizontal="left" vertical="top" wrapText="1"/>
    </xf>
    <xf numFmtId="0" fontId="9" fillId="0" borderId="7" xfId="0" applyFont="1" applyBorder="1" applyAlignment="1">
      <alignment horizontal="center"/>
    </xf>
    <xf numFmtId="0" fontId="9" fillId="0" borderId="12" xfId="0" applyFont="1" applyFill="1" applyBorder="1" applyAlignment="1">
      <alignment horizontal="center"/>
    </xf>
    <xf numFmtId="0" fontId="9" fillId="0" borderId="11" xfId="0" applyFont="1" applyFill="1" applyBorder="1" applyAlignment="1">
      <alignment horizontal="center"/>
    </xf>
    <xf numFmtId="0" fontId="9" fillId="0" borderId="10" xfId="0" applyFont="1" applyFill="1" applyBorder="1" applyAlignment="1">
      <alignment horizontal="center"/>
    </xf>
    <xf numFmtId="3" fontId="11" fillId="0" borderId="13" xfId="98" applyNumberFormat="1" applyFont="1" applyBorder="1" applyAlignment="1">
      <alignment horizontal="center" vertical="top" wrapText="1"/>
    </xf>
    <xf numFmtId="3" fontId="11" fillId="0" borderId="8" xfId="98" applyNumberFormat="1" applyFont="1" applyBorder="1" applyAlignment="1">
      <alignment horizontal="center" vertical="top" wrapText="1"/>
    </xf>
    <xf numFmtId="3" fontId="11" fillId="0" borderId="9" xfId="98" applyNumberFormat="1" applyFont="1" applyBorder="1" applyAlignment="1">
      <alignment horizontal="center" vertical="top" wrapText="1"/>
    </xf>
    <xf numFmtId="3" fontId="11" fillId="0" borderId="120" xfId="98" applyNumberFormat="1" applyFont="1" applyBorder="1" applyAlignment="1">
      <alignment horizontal="center" vertical="top" wrapText="1"/>
    </xf>
    <xf numFmtId="3" fontId="11" fillId="0" borderId="121" xfId="98" applyNumberFormat="1" applyFont="1" applyBorder="1" applyAlignment="1">
      <alignment horizontal="center" vertical="top" wrapText="1"/>
    </xf>
    <xf numFmtId="3" fontId="11" fillId="0" borderId="122" xfId="98" applyNumberFormat="1" applyFont="1" applyBorder="1" applyAlignment="1">
      <alignment horizontal="center" vertical="top" wrapText="1"/>
    </xf>
    <xf numFmtId="3" fontId="9" fillId="0" borderId="7" xfId="0" applyNumberFormat="1" applyFont="1" applyBorder="1" applyAlignment="1">
      <alignment horizontal="center"/>
    </xf>
    <xf numFmtId="0" fontId="9" fillId="0" borderId="0" xfId="0" applyFont="1" applyBorder="1" applyAlignment="1">
      <alignment horizontal="center"/>
    </xf>
    <xf numFmtId="0" fontId="9" fillId="0" borderId="2" xfId="0" applyFont="1" applyBorder="1" applyAlignment="1">
      <alignment horizontal="center"/>
    </xf>
    <xf numFmtId="0" fontId="20" fillId="4" borderId="88" xfId="0" applyFont="1" applyFill="1" applyBorder="1" applyAlignment="1">
      <alignment horizontal="center" vertical="top" wrapText="1"/>
    </xf>
    <xf numFmtId="0" fontId="20" fillId="4" borderId="89" xfId="0" applyFont="1" applyFill="1" applyBorder="1" applyAlignment="1">
      <alignment horizontal="center" vertical="top" wrapText="1"/>
    </xf>
    <xf numFmtId="0" fontId="20" fillId="4" borderId="90" xfId="0" applyFont="1" applyFill="1" applyBorder="1" applyAlignment="1">
      <alignment horizontal="center" vertical="top" wrapText="1"/>
    </xf>
    <xf numFmtId="0" fontId="20" fillId="10" borderId="101" xfId="0" applyFont="1" applyFill="1" applyBorder="1" applyAlignment="1">
      <alignment vertical="top" wrapText="1"/>
    </xf>
    <xf numFmtId="0" fontId="20" fillId="10" borderId="102" xfId="0" applyFont="1" applyFill="1" applyBorder="1" applyAlignment="1">
      <alignment vertical="top" wrapText="1"/>
    </xf>
    <xf numFmtId="0" fontId="20" fillId="10" borderId="103" xfId="0" applyFont="1" applyFill="1" applyBorder="1" applyAlignment="1">
      <alignment vertical="top" wrapText="1"/>
    </xf>
    <xf numFmtId="0" fontId="20" fillId="10" borderId="107" xfId="0" applyFont="1" applyFill="1" applyBorder="1" applyAlignment="1">
      <alignment vertical="top" wrapText="1"/>
    </xf>
    <xf numFmtId="0" fontId="20" fillId="10" borderId="108" xfId="0" applyFont="1" applyFill="1" applyBorder="1" applyAlignment="1">
      <alignment vertical="top" wrapText="1"/>
    </xf>
    <xf numFmtId="0" fontId="20" fillId="10" borderId="109" xfId="0" applyFont="1" applyFill="1" applyBorder="1" applyAlignment="1">
      <alignment vertical="top" wrapText="1"/>
    </xf>
    <xf numFmtId="3" fontId="9" fillId="0" borderId="88" xfId="0" applyNumberFormat="1" applyFont="1" applyFill="1" applyBorder="1" applyAlignment="1">
      <alignment horizontal="center" vertical="top" wrapText="1"/>
    </xf>
    <xf numFmtId="0" fontId="11" fillId="0" borderId="2" xfId="0" applyFont="1" applyBorder="1" applyAlignment="1">
      <alignment horizontal="left" vertical="top" wrapText="1"/>
    </xf>
    <xf numFmtId="3" fontId="9" fillId="17" borderId="107" xfId="0" applyNumberFormat="1" applyFont="1" applyFill="1" applyBorder="1" applyAlignment="1">
      <alignment horizontal="center" vertical="top" wrapText="1"/>
    </xf>
    <xf numFmtId="3" fontId="9" fillId="17" borderId="108" xfId="0" applyNumberFormat="1" applyFont="1" applyFill="1" applyBorder="1" applyAlignment="1">
      <alignment horizontal="center" vertical="top" wrapText="1"/>
    </xf>
    <xf numFmtId="3" fontId="9" fillId="17" borderId="109" xfId="0" applyNumberFormat="1" applyFont="1" applyFill="1" applyBorder="1" applyAlignment="1">
      <alignment horizontal="center" vertical="top" wrapText="1"/>
    </xf>
    <xf numFmtId="0" fontId="13" fillId="0" borderId="88" xfId="0" applyFont="1" applyFill="1" applyBorder="1" applyAlignment="1">
      <alignment horizontal="center" vertical="top" wrapText="1"/>
    </xf>
    <xf numFmtId="0" fontId="13" fillId="0" borderId="89" xfId="0" applyFont="1" applyFill="1" applyBorder="1" applyAlignment="1">
      <alignment horizontal="center" vertical="top" wrapText="1"/>
    </xf>
    <xf numFmtId="0" fontId="13" fillId="0" borderId="90" xfId="0" applyFont="1" applyFill="1" applyBorder="1" applyAlignment="1">
      <alignment horizontal="center" vertical="top" wrapText="1"/>
    </xf>
    <xf numFmtId="0" fontId="10" fillId="0" borderId="89" xfId="0" applyFont="1" applyFill="1" applyBorder="1" applyAlignment="1">
      <alignment horizontal="left" vertical="top" wrapText="1"/>
    </xf>
    <xf numFmtId="0" fontId="10" fillId="0" borderId="90" xfId="0" applyFont="1" applyFill="1" applyBorder="1" applyAlignment="1">
      <alignment horizontal="left" vertical="top" wrapText="1"/>
    </xf>
    <xf numFmtId="0" fontId="15" fillId="4" borderId="7" xfId="0" applyFont="1" applyFill="1" applyBorder="1" applyAlignment="1">
      <alignment vertical="top" wrapText="1"/>
    </xf>
    <xf numFmtId="0" fontId="9" fillId="0" borderId="0" xfId="0" applyFont="1" applyBorder="1" applyAlignment="1">
      <alignment vertical="top" wrapText="1"/>
    </xf>
    <xf numFmtId="0" fontId="9" fillId="0" borderId="2" xfId="0" applyFont="1" applyBorder="1" applyAlignment="1">
      <alignment vertical="top" wrapText="1"/>
    </xf>
    <xf numFmtId="0" fontId="10" fillId="17" borderId="101" xfId="0" applyFont="1" applyFill="1" applyBorder="1" applyAlignment="1">
      <alignment horizontal="left" vertical="top" wrapText="1"/>
    </xf>
    <xf numFmtId="0" fontId="10" fillId="17" borderId="102" xfId="0" applyFont="1" applyFill="1" applyBorder="1" applyAlignment="1">
      <alignment horizontal="left" vertical="top" wrapText="1"/>
    </xf>
    <xf numFmtId="0" fontId="10" fillId="17" borderId="103" xfId="0" applyFont="1" applyFill="1" applyBorder="1" applyAlignment="1">
      <alignment horizontal="left" vertical="top" wrapText="1"/>
    </xf>
    <xf numFmtId="0" fontId="9" fillId="15" borderId="104" xfId="0" applyFont="1" applyFill="1" applyBorder="1" applyAlignment="1">
      <alignment horizontal="left" vertical="top" wrapText="1"/>
    </xf>
    <xf numFmtId="0" fontId="9" fillId="15" borderId="1" xfId="0" applyFont="1" applyFill="1" applyBorder="1" applyAlignment="1">
      <alignment horizontal="left" vertical="top" wrapText="1"/>
    </xf>
    <xf numFmtId="0" fontId="9" fillId="15" borderId="110" xfId="0" applyFont="1" applyFill="1" applyBorder="1" applyAlignment="1">
      <alignment horizontal="left" vertical="top" wrapText="1"/>
    </xf>
    <xf numFmtId="3" fontId="11" fillId="0" borderId="89" xfId="0" applyNumberFormat="1" applyFont="1" applyFill="1" applyBorder="1" applyAlignment="1">
      <alignment horizontal="center" vertical="top" wrapText="1"/>
    </xf>
    <xf numFmtId="3" fontId="11" fillId="0" borderId="90" xfId="0" applyNumberFormat="1" applyFont="1" applyFill="1" applyBorder="1" applyAlignment="1">
      <alignment horizontal="center" vertical="top" wrapText="1"/>
    </xf>
    <xf numFmtId="164" fontId="9" fillId="0" borderId="88" xfId="75" applyNumberFormat="1" applyFont="1" applyBorder="1" applyAlignment="1">
      <alignment horizontal="center"/>
    </xf>
    <xf numFmtId="164" fontId="9" fillId="0" borderId="89" xfId="75" applyNumberFormat="1" applyFont="1" applyBorder="1" applyAlignment="1">
      <alignment horizontal="center"/>
    </xf>
    <xf numFmtId="164" fontId="9" fillId="0" borderId="90" xfId="75" applyNumberFormat="1" applyFont="1" applyBorder="1" applyAlignment="1">
      <alignment horizontal="center"/>
    </xf>
    <xf numFmtId="0" fontId="9" fillId="0" borderId="110" xfId="0" applyFont="1" applyFill="1" applyBorder="1" applyAlignment="1">
      <alignment horizontal="left" vertical="top" wrapText="1"/>
    </xf>
    <xf numFmtId="0" fontId="15" fillId="0" borderId="104" xfId="0" applyFont="1" applyFill="1" applyBorder="1" applyAlignment="1">
      <alignment horizontal="left" vertical="top" wrapText="1"/>
    </xf>
    <xf numFmtId="0" fontId="15" fillId="0" borderId="1" xfId="0" applyFont="1" applyFill="1" applyBorder="1" applyAlignment="1">
      <alignment horizontal="left" vertical="top" wrapText="1"/>
    </xf>
    <xf numFmtId="3" fontId="11" fillId="17" borderId="102" xfId="0" applyNumberFormat="1" applyFont="1" applyFill="1" applyBorder="1" applyAlignment="1">
      <alignment horizontal="center" vertical="top" wrapText="1"/>
    </xf>
    <xf numFmtId="3" fontId="11" fillId="17" borderId="103" xfId="0" applyNumberFormat="1" applyFont="1" applyFill="1" applyBorder="1" applyAlignment="1">
      <alignment horizontal="center" vertical="top" wrapText="1"/>
    </xf>
    <xf numFmtId="9" fontId="9" fillId="0" borderId="108" xfId="0" applyNumberFormat="1" applyFont="1" applyBorder="1" applyAlignment="1">
      <alignment horizontal="center" vertical="top" wrapText="1"/>
    </xf>
    <xf numFmtId="0" fontId="9" fillId="0" borderId="108" xfId="0" applyFont="1" applyBorder="1" applyAlignment="1">
      <alignment horizontal="center"/>
    </xf>
    <xf numFmtId="0" fontId="9" fillId="0" borderId="109" xfId="0" applyFont="1" applyBorder="1" applyAlignment="1">
      <alignment horizontal="center"/>
    </xf>
    <xf numFmtId="0" fontId="9" fillId="0" borderId="102" xfId="0" applyFont="1" applyFill="1" applyBorder="1" applyAlignment="1">
      <alignment horizontal="center"/>
    </xf>
    <xf numFmtId="0" fontId="9" fillId="0" borderId="103" xfId="0" applyFont="1" applyFill="1" applyBorder="1" applyAlignment="1">
      <alignment horizontal="center"/>
    </xf>
    <xf numFmtId="0" fontId="9" fillId="0" borderId="35" xfId="0" applyFont="1" applyFill="1" applyBorder="1" applyAlignment="1">
      <alignment vertical="top" wrapText="1"/>
    </xf>
    <xf numFmtId="0" fontId="9" fillId="0" borderId="36" xfId="0" applyFont="1" applyFill="1" applyBorder="1" applyAlignment="1">
      <alignment vertical="top" wrapText="1"/>
    </xf>
    <xf numFmtId="0" fontId="9" fillId="0" borderId="37" xfId="0" applyFont="1" applyFill="1" applyBorder="1" applyAlignment="1">
      <alignment vertical="top" wrapText="1"/>
    </xf>
    <xf numFmtId="0" fontId="11" fillId="0" borderId="88" xfId="0" applyFont="1" applyFill="1" applyBorder="1" applyAlignment="1">
      <alignment horizontal="center" vertical="top" wrapText="1"/>
    </xf>
    <xf numFmtId="0" fontId="11" fillId="0" borderId="89" xfId="0" applyFont="1" applyFill="1" applyBorder="1" applyAlignment="1">
      <alignment horizontal="center" vertical="top" wrapText="1"/>
    </xf>
    <xf numFmtId="0" fontId="11" fillId="0" borderId="93" xfId="0" applyFont="1" applyFill="1" applyBorder="1" applyAlignment="1">
      <alignment horizontal="center" vertical="top" wrapText="1"/>
    </xf>
    <xf numFmtId="0" fontId="9" fillId="14" borderId="101" xfId="0" applyFont="1" applyFill="1" applyBorder="1" applyAlignment="1">
      <alignment horizontal="center" vertical="top" wrapText="1"/>
    </xf>
    <xf numFmtId="0" fontId="9" fillId="14" borderId="102" xfId="0" applyFont="1" applyFill="1" applyBorder="1" applyAlignment="1">
      <alignment horizontal="center" vertical="top" wrapText="1"/>
    </xf>
    <xf numFmtId="0" fontId="9" fillId="14" borderId="103" xfId="0" applyFont="1" applyFill="1" applyBorder="1" applyAlignment="1">
      <alignment horizontal="center" vertical="top" wrapText="1"/>
    </xf>
    <xf numFmtId="0" fontId="21" fillId="0" borderId="101" xfId="0" applyFont="1" applyBorder="1" applyAlignment="1">
      <alignment horizontal="left" vertical="top"/>
    </xf>
    <xf numFmtId="0" fontId="21" fillId="0" borderId="102" xfId="0" applyFont="1" applyBorder="1" applyAlignment="1">
      <alignment horizontal="left" vertical="top"/>
    </xf>
    <xf numFmtId="0" fontId="9" fillId="15" borderId="8" xfId="0" applyFont="1" applyFill="1" applyBorder="1" applyAlignment="1">
      <alignment horizontal="left" vertical="top" wrapText="1"/>
    </xf>
    <xf numFmtId="0" fontId="21" fillId="0" borderId="12" xfId="0" applyFont="1" applyBorder="1" applyAlignment="1">
      <alignment horizontal="left" vertical="top"/>
    </xf>
    <xf numFmtId="0" fontId="21" fillId="0" borderId="11" xfId="0" applyFont="1" applyBorder="1" applyAlignment="1">
      <alignment horizontal="left" vertical="top"/>
    </xf>
    <xf numFmtId="0" fontId="0" fillId="14" borderId="101" xfId="0" applyFill="1" applyBorder="1" applyAlignment="1">
      <alignment horizontal="center" wrapText="1"/>
    </xf>
    <xf numFmtId="0" fontId="0" fillId="14" borderId="102" xfId="0" applyFill="1" applyBorder="1" applyAlignment="1">
      <alignment horizontal="center" wrapText="1"/>
    </xf>
    <xf numFmtId="0" fontId="0" fillId="14" borderId="103" xfId="0" applyFill="1" applyBorder="1" applyAlignment="1">
      <alignment horizontal="center" wrapText="1"/>
    </xf>
    <xf numFmtId="0" fontId="0" fillId="14" borderId="7" xfId="0" applyFill="1" applyBorder="1" applyAlignment="1">
      <alignment horizontal="center" wrapText="1"/>
    </xf>
    <xf numFmtId="0" fontId="0" fillId="14" borderId="0" xfId="0" applyFill="1" applyAlignment="1">
      <alignment horizontal="center" wrapText="1"/>
    </xf>
    <xf numFmtId="0" fontId="0" fillId="14" borderId="2" xfId="0" applyFill="1" applyBorder="1" applyAlignment="1">
      <alignment horizontal="center" wrapText="1"/>
    </xf>
    <xf numFmtId="0" fontId="0" fillId="14" borderId="120" xfId="0" applyFill="1" applyBorder="1" applyAlignment="1">
      <alignment horizontal="center" wrapText="1"/>
    </xf>
    <xf numFmtId="0" fontId="0" fillId="14" borderId="121" xfId="0" applyFill="1" applyBorder="1" applyAlignment="1">
      <alignment horizontal="center" wrapText="1"/>
    </xf>
    <xf numFmtId="0" fontId="0" fillId="14" borderId="122" xfId="0" applyFill="1" applyBorder="1" applyAlignment="1">
      <alignment horizontal="center" wrapText="1"/>
    </xf>
    <xf numFmtId="0" fontId="15" fillId="4" borderId="101" xfId="0" applyFont="1" applyFill="1" applyBorder="1" applyAlignment="1">
      <alignment horizontal="center" vertical="top" wrapText="1"/>
    </xf>
    <xf numFmtId="0" fontId="15" fillId="4" borderId="102" xfId="0" applyFont="1" applyFill="1" applyBorder="1" applyAlignment="1">
      <alignment horizontal="center" vertical="top" wrapText="1"/>
    </xf>
    <xf numFmtId="0" fontId="9" fillId="17" borderId="12" xfId="0" applyFont="1" applyFill="1" applyBorder="1" applyAlignment="1">
      <alignment horizontal="left" vertical="top" wrapText="1"/>
    </xf>
    <xf numFmtId="0" fontId="9" fillId="17" borderId="11" xfId="0" applyFont="1" applyFill="1" applyBorder="1" applyAlignment="1">
      <alignment horizontal="left" vertical="top" wrapText="1"/>
    </xf>
    <xf numFmtId="0" fontId="9" fillId="17" borderId="109" xfId="0" applyFont="1" applyFill="1" applyBorder="1" applyAlignment="1">
      <alignment horizontal="left" vertical="top" wrapText="1"/>
    </xf>
    <xf numFmtId="0" fontId="15" fillId="20" borderId="108" xfId="0" applyFont="1" applyFill="1" applyBorder="1" applyAlignment="1">
      <alignment horizontal="left"/>
    </xf>
    <xf numFmtId="0" fontId="9" fillId="20" borderId="108" xfId="0" applyFont="1" applyFill="1" applyBorder="1" applyAlignment="1">
      <alignment horizontal="left"/>
    </xf>
    <xf numFmtId="0" fontId="9" fillId="20" borderId="109" xfId="0" applyFont="1" applyFill="1" applyBorder="1" applyAlignment="1">
      <alignment horizontal="left"/>
    </xf>
    <xf numFmtId="0" fontId="9" fillId="14" borderId="102" xfId="0" applyFont="1" applyFill="1" applyBorder="1" applyAlignment="1">
      <alignment horizontal="center"/>
    </xf>
    <xf numFmtId="0" fontId="21" fillId="0" borderId="101" xfId="0" applyFont="1" applyBorder="1" applyAlignment="1">
      <alignment horizontal="left" vertical="top" wrapText="1"/>
    </xf>
    <xf numFmtId="0" fontId="21" fillId="0" borderId="102" xfId="0" applyFont="1" applyBorder="1" applyAlignment="1">
      <alignment horizontal="left" vertical="top" wrapText="1"/>
    </xf>
    <xf numFmtId="3" fontId="9" fillId="17" borderId="101" xfId="0" applyNumberFormat="1" applyFont="1" applyFill="1" applyBorder="1" applyAlignment="1">
      <alignment horizontal="center" vertical="top" wrapText="1"/>
    </xf>
    <xf numFmtId="3" fontId="9" fillId="17" borderId="102" xfId="0" applyNumberFormat="1" applyFont="1" applyFill="1" applyBorder="1" applyAlignment="1">
      <alignment horizontal="center" vertical="top" wrapText="1"/>
    </xf>
    <xf numFmtId="3" fontId="9" fillId="17" borderId="103" xfId="0" applyNumberFormat="1" applyFont="1" applyFill="1" applyBorder="1" applyAlignment="1">
      <alignment horizontal="center" vertical="top" wrapText="1"/>
    </xf>
    <xf numFmtId="3" fontId="9" fillId="17" borderId="7" xfId="0" applyNumberFormat="1" applyFont="1" applyFill="1" applyBorder="1" applyAlignment="1">
      <alignment horizontal="center" vertical="top" wrapText="1"/>
    </xf>
    <xf numFmtId="3" fontId="11" fillId="17" borderId="107" xfId="0" applyNumberFormat="1" applyFont="1" applyFill="1" applyBorder="1" applyAlignment="1">
      <alignment horizontal="left" vertical="top" wrapText="1"/>
    </xf>
    <xf numFmtId="3" fontId="11" fillId="17" borderId="108" xfId="0" applyNumberFormat="1" applyFont="1" applyFill="1" applyBorder="1" applyAlignment="1">
      <alignment horizontal="left" vertical="top" wrapText="1"/>
    </xf>
    <xf numFmtId="0" fontId="9" fillId="17" borderId="117" xfId="0" applyFont="1" applyFill="1" applyBorder="1" applyAlignment="1">
      <alignment horizontal="left" vertical="top"/>
    </xf>
    <xf numFmtId="0" fontId="9" fillId="17" borderId="117" xfId="0" applyFont="1" applyFill="1" applyBorder="1" applyAlignment="1">
      <alignment horizontal="left" vertical="top" wrapText="1"/>
    </xf>
    <xf numFmtId="0" fontId="9" fillId="17" borderId="115" xfId="0" applyFont="1" applyFill="1" applyBorder="1" applyAlignment="1">
      <alignment horizontal="left" vertical="top" wrapText="1"/>
    </xf>
    <xf numFmtId="3" fontId="11" fillId="0" borderId="122" xfId="0" applyNumberFormat="1" applyFont="1" applyFill="1" applyBorder="1" applyAlignment="1">
      <alignment horizontal="center" vertical="top" wrapText="1"/>
    </xf>
    <xf numFmtId="0" fontId="50" fillId="0" borderId="86" xfId="0" applyFont="1" applyBorder="1" applyAlignment="1">
      <alignment vertical="center"/>
    </xf>
    <xf numFmtId="0" fontId="51" fillId="0" borderId="83" xfId="0" applyFont="1" applyBorder="1" applyAlignment="1">
      <alignment horizontal="center" vertical="center"/>
    </xf>
    <xf numFmtId="0" fontId="51" fillId="0" borderId="84" xfId="0" applyFont="1" applyBorder="1" applyAlignment="1">
      <alignment horizontal="center" vertical="center"/>
    </xf>
    <xf numFmtId="0" fontId="51" fillId="0" borderId="80" xfId="0" applyFont="1" applyBorder="1" applyAlignment="1">
      <alignment horizontal="center" vertical="center"/>
    </xf>
    <xf numFmtId="0" fontId="51" fillId="0" borderId="81" xfId="0" applyFont="1" applyBorder="1" applyAlignment="1">
      <alignment horizontal="center" vertical="center"/>
    </xf>
    <xf numFmtId="0" fontId="51" fillId="0" borderId="82" xfId="0" applyFont="1" applyBorder="1" applyAlignment="1">
      <alignment horizontal="center" vertical="center"/>
    </xf>
    <xf numFmtId="0" fontId="24" fillId="29" borderId="42" xfId="0" applyFont="1" applyFill="1" applyBorder="1" applyAlignment="1">
      <alignment horizontal="center"/>
    </xf>
    <xf numFmtId="0" fontId="24" fillId="29" borderId="19" xfId="0" applyFont="1" applyFill="1" applyBorder="1" applyAlignment="1">
      <alignment horizontal="center"/>
    </xf>
    <xf numFmtId="0" fontId="24" fillId="31" borderId="42" xfId="0" applyFont="1" applyFill="1" applyBorder="1" applyAlignment="1">
      <alignment horizontal="center"/>
    </xf>
    <xf numFmtId="0" fontId="24" fillId="31" borderId="19" xfId="0" applyFont="1" applyFill="1" applyBorder="1" applyAlignment="1">
      <alignment horizontal="center"/>
    </xf>
    <xf numFmtId="0" fontId="24" fillId="32" borderId="23" xfId="0" applyFont="1" applyFill="1" applyBorder="1" applyAlignment="1">
      <alignment horizontal="center"/>
    </xf>
    <xf numFmtId="0" fontId="24" fillId="32" borderId="42" xfId="0" applyFont="1" applyFill="1" applyBorder="1" applyAlignment="1">
      <alignment horizontal="center"/>
    </xf>
    <xf numFmtId="0" fontId="24" fillId="32" borderId="19" xfId="0" applyFont="1" applyFill="1" applyBorder="1" applyAlignment="1">
      <alignment horizontal="center"/>
    </xf>
    <xf numFmtId="0" fontId="24" fillId="31" borderId="23" xfId="0" applyFont="1" applyFill="1" applyBorder="1" applyAlignment="1">
      <alignment horizontal="center"/>
    </xf>
    <xf numFmtId="0" fontId="24" fillId="0" borderId="23" xfId="0" applyFont="1" applyBorder="1" applyAlignment="1">
      <alignment horizontal="center" vertical="center"/>
    </xf>
    <xf numFmtId="0" fontId="24" fillId="0" borderId="42" xfId="0" applyFont="1" applyBorder="1" applyAlignment="1">
      <alignment horizontal="center" vertical="center"/>
    </xf>
    <xf numFmtId="0" fontId="24" fillId="0" borderId="19" xfId="0" applyFont="1" applyBorder="1" applyAlignment="1">
      <alignment horizontal="center" vertical="center"/>
    </xf>
    <xf numFmtId="0" fontId="35" fillId="29" borderId="8" xfId="0" applyNumberFormat="1" applyFont="1" applyFill="1" applyBorder="1" applyAlignment="1">
      <alignment horizontal="center" vertical="center"/>
    </xf>
    <xf numFmtId="0" fontId="35" fillId="29" borderId="73" xfId="0" applyNumberFormat="1" applyFont="1" applyFill="1" applyBorder="1" applyAlignment="1">
      <alignment horizontal="center" vertical="center"/>
    </xf>
    <xf numFmtId="0" fontId="44" fillId="0" borderId="78" xfId="1" applyFont="1" applyBorder="1" applyAlignment="1">
      <alignment horizontal="center"/>
    </xf>
    <xf numFmtId="0" fontId="44" fillId="0" borderId="11" xfId="1" applyFont="1" applyBorder="1" applyAlignment="1">
      <alignment horizontal="center"/>
    </xf>
    <xf numFmtId="0" fontId="44" fillId="0" borderId="76" xfId="1" applyFont="1" applyBorder="1" applyAlignment="1">
      <alignment horizontal="center"/>
    </xf>
    <xf numFmtId="0" fontId="44" fillId="0" borderId="8" xfId="1" applyFont="1" applyBorder="1" applyAlignment="1">
      <alignment horizontal="center"/>
    </xf>
    <xf numFmtId="0" fontId="44" fillId="0" borderId="74" xfId="1" applyFont="1" applyBorder="1" applyAlignment="1">
      <alignment horizontal="center"/>
    </xf>
    <xf numFmtId="0" fontId="44" fillId="0" borderId="75" xfId="1" applyFont="1" applyBorder="1" applyAlignment="1">
      <alignment horizontal="center"/>
    </xf>
    <xf numFmtId="0" fontId="44" fillId="0" borderId="73" xfId="1" applyFont="1" applyBorder="1" applyAlignment="1">
      <alignment horizontal="center"/>
    </xf>
    <xf numFmtId="0" fontId="43" fillId="0" borderId="51" xfId="1" applyFont="1" applyBorder="1" applyAlignment="1">
      <alignment horizontal="center" wrapText="1"/>
    </xf>
    <xf numFmtId="0" fontId="43" fillId="0" borderId="18" xfId="1" applyFont="1" applyBorder="1" applyAlignment="1">
      <alignment horizontal="center" wrapText="1"/>
    </xf>
    <xf numFmtId="0" fontId="43" fillId="0" borderId="54" xfId="1" applyFont="1" applyBorder="1" applyAlignment="1">
      <alignment horizontal="center"/>
    </xf>
    <xf numFmtId="0" fontId="43" fillId="0" borderId="55" xfId="1" applyFont="1" applyBorder="1" applyAlignment="1">
      <alignment horizontal="center"/>
    </xf>
    <xf numFmtId="0" fontId="43" fillId="0" borderId="77" xfId="1" applyFont="1" applyBorder="1" applyAlignment="1">
      <alignment horizontal="center" vertical="center"/>
    </xf>
    <xf numFmtId="0" fontId="43" fillId="0" borderId="79" xfId="1" applyFont="1" applyBorder="1" applyAlignment="1">
      <alignment horizontal="center" vertical="center"/>
    </xf>
    <xf numFmtId="0" fontId="9" fillId="0" borderId="104" xfId="2" applyFont="1" applyBorder="1" applyAlignment="1">
      <alignment horizontal="left" vertical="top" wrapText="1"/>
    </xf>
    <xf numFmtId="0" fontId="9" fillId="0" borderId="1" xfId="2" applyFont="1" applyBorder="1" applyAlignment="1">
      <alignment horizontal="left" vertical="top" wrapText="1"/>
    </xf>
    <xf numFmtId="0" fontId="9" fillId="0" borderId="1" xfId="2" applyFont="1" applyBorder="1" applyAlignment="1">
      <alignment vertical="top" wrapText="1"/>
    </xf>
    <xf numFmtId="0" fontId="35" fillId="0" borderId="23" xfId="0" applyFont="1" applyBorder="1" applyAlignment="1">
      <alignment horizontal="center"/>
    </xf>
    <xf numFmtId="0" fontId="35" fillId="0" borderId="19" xfId="0" applyFont="1" applyBorder="1" applyAlignment="1">
      <alignment horizontal="center"/>
    </xf>
    <xf numFmtId="0" fontId="36" fillId="0" borderId="18" xfId="0" applyFont="1" applyBorder="1" applyAlignment="1">
      <alignment horizontal="center" vertical="center" wrapText="1"/>
    </xf>
    <xf numFmtId="0" fontId="35" fillId="0" borderId="18" xfId="0" applyFont="1" applyBorder="1" applyAlignment="1">
      <alignment horizontal="center"/>
    </xf>
    <xf numFmtId="0" fontId="44" fillId="0" borderId="14" xfId="193" applyFont="1" applyBorder="1" applyAlignment="1">
      <alignment horizontal="center"/>
    </xf>
    <xf numFmtId="0" fontId="44" fillId="0" borderId="15" xfId="193" applyFont="1" applyBorder="1" applyAlignment="1">
      <alignment horizontal="center"/>
    </xf>
    <xf numFmtId="0" fontId="44" fillId="0" borderId="16" xfId="193" applyFont="1" applyBorder="1" applyAlignment="1">
      <alignment horizontal="center"/>
    </xf>
    <xf numFmtId="0" fontId="44" fillId="0" borderId="131" xfId="193" applyFont="1" applyBorder="1" applyAlignment="1">
      <alignment horizontal="center"/>
    </xf>
    <xf numFmtId="0" fontId="44" fillId="0" borderId="89" xfId="193" applyFont="1" applyBorder="1" applyAlignment="1">
      <alignment horizontal="center"/>
    </xf>
    <xf numFmtId="0" fontId="44" fillId="0" borderId="90" xfId="193" applyFont="1" applyBorder="1" applyAlignment="1">
      <alignment horizontal="center"/>
    </xf>
    <xf numFmtId="0" fontId="44" fillId="16" borderId="131" xfId="193" applyFont="1" applyFill="1" applyBorder="1" applyAlignment="1">
      <alignment horizontal="center"/>
    </xf>
    <xf numFmtId="0" fontId="44" fillId="16" borderId="89" xfId="193" applyFont="1" applyFill="1" applyBorder="1" applyAlignment="1">
      <alignment horizontal="center"/>
    </xf>
    <xf numFmtId="0" fontId="44" fillId="16" borderId="90" xfId="193" applyFont="1" applyFill="1" applyBorder="1" applyAlignment="1">
      <alignment horizontal="center"/>
    </xf>
    <xf numFmtId="0" fontId="44" fillId="16" borderId="14" xfId="193" applyFont="1" applyFill="1" applyBorder="1" applyAlignment="1">
      <alignment horizontal="center"/>
    </xf>
    <xf numFmtId="0" fontId="44" fillId="16" borderId="15" xfId="193" applyFont="1" applyFill="1" applyBorder="1" applyAlignment="1">
      <alignment horizontal="center"/>
    </xf>
    <xf numFmtId="0" fontId="44" fillId="16" borderId="16" xfId="193" applyFont="1" applyFill="1" applyBorder="1" applyAlignment="1">
      <alignment horizontal="center"/>
    </xf>
    <xf numFmtId="0" fontId="35" fillId="27" borderId="23" xfId="0" applyFont="1" applyFill="1" applyBorder="1" applyAlignment="1">
      <alignment horizontal="center"/>
    </xf>
    <xf numFmtId="0" fontId="35" fillId="27" borderId="42" xfId="0" applyFont="1" applyFill="1" applyBorder="1" applyAlignment="1">
      <alignment horizontal="center"/>
    </xf>
    <xf numFmtId="0" fontId="35" fillId="27" borderId="19" xfId="0" applyFont="1" applyFill="1" applyBorder="1" applyAlignment="1">
      <alignment horizontal="center"/>
    </xf>
    <xf numFmtId="0" fontId="35" fillId="0" borderId="42" xfId="0" applyFont="1" applyBorder="1" applyAlignment="1">
      <alignment horizontal="center"/>
    </xf>
    <xf numFmtId="0" fontId="0" fillId="0" borderId="28" xfId="0" applyBorder="1" applyAlignment="1">
      <alignment horizontal="center"/>
    </xf>
    <xf numFmtId="0" fontId="0" fillId="0" borderId="18" xfId="0" applyBorder="1" applyAlignment="1">
      <alignment horizontal="center"/>
    </xf>
    <xf numFmtId="0" fontId="0" fillId="0" borderId="29"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0" xfId="0" applyAlignment="1">
      <alignment horizontal="center" wrapText="1"/>
    </xf>
    <xf numFmtId="0" fontId="35" fillId="0" borderId="96" xfId="0" applyFont="1" applyBorder="1" applyAlignment="1">
      <alignment horizontal="center"/>
    </xf>
    <xf numFmtId="0" fontId="35" fillId="0" borderId="94" xfId="0" applyFont="1" applyBorder="1" applyAlignment="1">
      <alignment horizontal="center"/>
    </xf>
    <xf numFmtId="0" fontId="35" fillId="0" borderId="95" xfId="0" applyFont="1" applyBorder="1" applyAlignment="1">
      <alignment horizontal="center"/>
    </xf>
    <xf numFmtId="0" fontId="35" fillId="0" borderId="107" xfId="0" applyFont="1" applyBorder="1" applyAlignment="1">
      <alignment horizontal="center"/>
    </xf>
    <xf numFmtId="0" fontId="35" fillId="0" borderId="117" xfId="0" applyFont="1" applyBorder="1" applyAlignment="1">
      <alignment horizontal="center"/>
    </xf>
    <xf numFmtId="0" fontId="25" fillId="0" borderId="28" xfId="0" applyFont="1" applyBorder="1" applyAlignment="1">
      <alignment horizontal="left" vertical="center"/>
    </xf>
    <xf numFmtId="0" fontId="25" fillId="0" borderId="6" xfId="0" applyFont="1" applyBorder="1" applyAlignment="1">
      <alignment horizontal="left" vertical="center"/>
    </xf>
    <xf numFmtId="0" fontId="26" fillId="0" borderId="88" xfId="0" applyFont="1" applyBorder="1" applyAlignment="1">
      <alignment horizontal="center"/>
    </xf>
    <xf numFmtId="0" fontId="26" fillId="0" borderId="89" xfId="0" applyFont="1" applyBorder="1" applyAlignment="1">
      <alignment horizontal="center"/>
    </xf>
    <xf numFmtId="0" fontId="26" fillId="0" borderId="90" xfId="0" applyFont="1" applyBorder="1" applyAlignment="1">
      <alignment horizontal="center"/>
    </xf>
    <xf numFmtId="0" fontId="25" fillId="0" borderId="99" xfId="75" applyNumberFormat="1" applyFont="1" applyBorder="1" applyAlignment="1">
      <alignment horizontal="center"/>
    </xf>
    <xf numFmtId="0" fontId="25" fillId="0" borderId="100" xfId="75" applyNumberFormat="1" applyFont="1" applyBorder="1" applyAlignment="1">
      <alignment horizontal="center"/>
    </xf>
    <xf numFmtId="0" fontId="25" fillId="0" borderId="28" xfId="0" applyFont="1" applyBorder="1" applyAlignment="1">
      <alignment horizontal="center" vertical="center"/>
    </xf>
    <xf numFmtId="0" fontId="25" fillId="0" borderId="99" xfId="0" applyFont="1" applyBorder="1" applyAlignment="1">
      <alignment horizontal="center"/>
    </xf>
    <xf numFmtId="0" fontId="25" fillId="0" borderId="100" xfId="0" applyFont="1" applyBorder="1" applyAlignment="1">
      <alignment horizontal="center"/>
    </xf>
    <xf numFmtId="0" fontId="25" fillId="0" borderId="6" xfId="0" applyFont="1" applyBorder="1" applyAlignment="1">
      <alignment horizontal="center" vertical="center"/>
    </xf>
    <xf numFmtId="0" fontId="25" fillId="0" borderId="35" xfId="0" applyFont="1" applyBorder="1" applyAlignment="1">
      <alignment horizontal="left"/>
    </xf>
    <xf numFmtId="0" fontId="25" fillId="0" borderId="36" xfId="0" applyFont="1" applyBorder="1" applyAlignment="1">
      <alignment horizontal="left"/>
    </xf>
    <xf numFmtId="0" fontId="25" fillId="0" borderId="37" xfId="0" applyFont="1" applyBorder="1" applyAlignment="1">
      <alignment horizontal="left"/>
    </xf>
    <xf numFmtId="0" fontId="25" fillId="0" borderId="39" xfId="0" applyFont="1" applyBorder="1" applyAlignment="1">
      <alignment horizontal="center"/>
    </xf>
    <xf numFmtId="0" fontId="25" fillId="0" borderId="36" xfId="0" applyFont="1" applyBorder="1" applyAlignment="1">
      <alignment horizontal="center"/>
    </xf>
    <xf numFmtId="0" fontId="25" fillId="0" borderId="48" xfId="0" applyFont="1" applyBorder="1" applyAlignment="1">
      <alignment horizont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39" fillId="17" borderId="104" xfId="2" applyFont="1" applyFill="1" applyBorder="1" applyAlignment="1">
      <alignment horizontal="center" vertical="center"/>
    </xf>
    <xf numFmtId="0" fontId="39" fillId="17" borderId="1" xfId="2" applyFont="1" applyFill="1" applyBorder="1" applyAlignment="1">
      <alignment horizontal="center" vertical="center"/>
    </xf>
    <xf numFmtId="0" fontId="39" fillId="17" borderId="133" xfId="2" applyFont="1" applyFill="1" applyBorder="1" applyAlignment="1">
      <alignment horizontal="center" vertical="center"/>
    </xf>
    <xf numFmtId="0" fontId="44" fillId="0" borderId="104" xfId="2" applyFont="1" applyBorder="1" applyAlignment="1">
      <alignment horizontal="left" wrapText="1"/>
    </xf>
    <xf numFmtId="0" fontId="44" fillId="0" borderId="1" xfId="2" applyFont="1" applyBorder="1" applyAlignment="1">
      <alignment horizontal="left" wrapText="1"/>
    </xf>
    <xf numFmtId="0" fontId="44" fillId="0" borderId="133" xfId="2" applyFont="1" applyBorder="1" applyAlignment="1">
      <alignment horizontal="left" wrapText="1"/>
    </xf>
    <xf numFmtId="0" fontId="69" fillId="0" borderId="104" xfId="190" applyFont="1" applyBorder="1" applyAlignment="1">
      <alignment horizontal="center" vertical="center" wrapText="1"/>
    </xf>
    <xf numFmtId="0" fontId="69" fillId="0" borderId="1" xfId="190" applyFont="1" applyBorder="1" applyAlignment="1">
      <alignment horizontal="center" vertical="center" wrapText="1"/>
    </xf>
    <xf numFmtId="0" fontId="69" fillId="0" borderId="133" xfId="190" applyFont="1" applyBorder="1" applyAlignment="1">
      <alignment horizontal="center" vertical="center" wrapText="1"/>
    </xf>
    <xf numFmtId="0" fontId="39" fillId="0" borderId="104" xfId="2" applyFont="1" applyBorder="1" applyAlignment="1">
      <alignment horizontal="center" vertical="center"/>
    </xf>
    <xf numFmtId="0" fontId="39" fillId="0" borderId="1" xfId="2" applyFont="1" applyBorder="1" applyAlignment="1">
      <alignment horizontal="center" vertical="center"/>
    </xf>
    <xf numFmtId="0" fontId="39" fillId="0" borderId="133" xfId="2" applyFont="1" applyBorder="1" applyAlignment="1">
      <alignment horizontal="center" vertical="center"/>
    </xf>
    <xf numFmtId="0" fontId="44" fillId="0" borderId="101" xfId="2" applyFont="1" applyBorder="1" applyAlignment="1">
      <alignment horizontal="left" wrapText="1"/>
    </xf>
    <xf numFmtId="0" fontId="44" fillId="0" borderId="7" xfId="2" applyFont="1" applyBorder="1" applyAlignment="1">
      <alignment horizontal="left" wrapText="1"/>
    </xf>
    <xf numFmtId="0" fontId="69" fillId="17" borderId="21" xfId="190" applyFont="1" applyFill="1" applyBorder="1" applyAlignment="1">
      <alignment horizontal="center" vertical="center" wrapText="1"/>
    </xf>
    <xf numFmtId="0" fontId="69" fillId="17" borderId="22" xfId="190" applyFont="1" applyFill="1" applyBorder="1" applyAlignment="1">
      <alignment horizontal="center" vertical="center" wrapText="1"/>
    </xf>
    <xf numFmtId="0" fontId="67" fillId="16" borderId="0" xfId="2" applyFont="1" applyFill="1" applyAlignment="1">
      <alignment horizontal="center"/>
    </xf>
    <xf numFmtId="0" fontId="16" fillId="34" borderId="104" xfId="2" applyFill="1" applyBorder="1" applyAlignment="1">
      <alignment horizontal="center"/>
    </xf>
    <xf numFmtId="0" fontId="16" fillId="34" borderId="133" xfId="2" applyFill="1" applyBorder="1" applyAlignment="1">
      <alignment horizontal="center"/>
    </xf>
    <xf numFmtId="0" fontId="25" fillId="34" borderId="131" xfId="2" applyFont="1" applyFill="1" applyBorder="1" applyAlignment="1">
      <alignment horizontal="center"/>
    </xf>
    <xf numFmtId="0" fontId="25" fillId="34" borderId="89" xfId="2" applyFont="1" applyFill="1" applyBorder="1" applyAlignment="1">
      <alignment horizontal="center"/>
    </xf>
    <xf numFmtId="0" fontId="25" fillId="34" borderId="131" xfId="2" applyFont="1" applyFill="1" applyBorder="1" applyAlignment="1">
      <alignment horizontal="center" wrapText="1"/>
    </xf>
    <xf numFmtId="0" fontId="25" fillId="34" borderId="89" xfId="2" applyFont="1" applyFill="1" applyBorder="1" applyAlignment="1">
      <alignment horizontal="center" wrapText="1"/>
    </xf>
    <xf numFmtId="0" fontId="25" fillId="34" borderId="90" xfId="2" applyFont="1" applyFill="1" applyBorder="1" applyAlignment="1">
      <alignment horizontal="center" wrapText="1"/>
    </xf>
    <xf numFmtId="0" fontId="43" fillId="16" borderId="131" xfId="2" applyFont="1" applyFill="1" applyBorder="1" applyAlignment="1">
      <alignment horizontal="center" vertical="center" wrapText="1"/>
    </xf>
    <xf numFmtId="0" fontId="43" fillId="16" borderId="89" xfId="2" applyFont="1" applyFill="1" applyBorder="1" applyAlignment="1">
      <alignment horizontal="center" vertical="center" wrapText="1"/>
    </xf>
    <xf numFmtId="0" fontId="43" fillId="16" borderId="90" xfId="2" applyFont="1" applyFill="1" applyBorder="1" applyAlignment="1">
      <alignment horizontal="center" vertical="center" wrapText="1"/>
    </xf>
    <xf numFmtId="0" fontId="43" fillId="16" borderId="126" xfId="2" applyFont="1" applyFill="1" applyBorder="1" applyAlignment="1">
      <alignment horizontal="center" vertical="center" wrapText="1"/>
    </xf>
    <xf numFmtId="0" fontId="58" fillId="38" borderId="22" xfId="190" applyFont="1" applyFill="1" applyBorder="1" applyAlignment="1">
      <alignment horizontal="left" vertical="center" wrapText="1"/>
    </xf>
    <xf numFmtId="0" fontId="58" fillId="38" borderId="24" xfId="190" applyFont="1" applyFill="1" applyBorder="1" applyAlignment="1">
      <alignment horizontal="left" vertical="center" wrapText="1"/>
    </xf>
    <xf numFmtId="3" fontId="25" fillId="38" borderId="131" xfId="2" applyNumberFormat="1" applyFont="1" applyFill="1" applyBorder="1" applyAlignment="1">
      <alignment horizontal="center" vertical="center" wrapText="1"/>
    </xf>
    <xf numFmtId="3" fontId="25" fillId="38" borderId="89" xfId="2" applyNumberFormat="1" applyFont="1" applyFill="1" applyBorder="1" applyAlignment="1">
      <alignment horizontal="center" vertical="center" wrapText="1"/>
    </xf>
    <xf numFmtId="3" fontId="25" fillId="38" borderId="90" xfId="2" applyNumberFormat="1" applyFont="1" applyFill="1" applyBorder="1" applyAlignment="1">
      <alignment horizontal="center" vertical="center" wrapText="1"/>
    </xf>
    <xf numFmtId="0" fontId="69" fillId="0" borderId="21" xfId="190" applyFont="1" applyBorder="1" applyAlignment="1">
      <alignment horizontal="center" vertical="center" wrapText="1"/>
    </xf>
    <xf numFmtId="0" fontId="69" fillId="0" borderId="22" xfId="190" applyFont="1" applyBorder="1" applyAlignment="1">
      <alignment horizontal="center" vertical="center" wrapText="1"/>
    </xf>
    <xf numFmtId="0" fontId="69" fillId="0" borderId="24" xfId="190" applyFont="1" applyBorder="1" applyAlignment="1">
      <alignment horizontal="center" vertical="center" wrapText="1"/>
    </xf>
    <xf numFmtId="0" fontId="44" fillId="0" borderId="103" xfId="2" applyFont="1" applyBorder="1" applyAlignment="1">
      <alignment horizontal="left" wrapText="1"/>
    </xf>
    <xf numFmtId="0" fontId="15" fillId="9" borderId="0" xfId="2" applyFont="1" applyFill="1" applyBorder="1" applyAlignment="1">
      <alignment horizontal="left" vertical="top" wrapText="1"/>
    </xf>
    <xf numFmtId="0" fontId="9" fillId="16" borderId="7" xfId="2" applyFont="1" applyFill="1" applyBorder="1" applyAlignment="1">
      <alignment horizontal="left" vertical="top" wrapText="1"/>
    </xf>
    <xf numFmtId="0" fontId="9" fillId="16" borderId="0" xfId="2" applyFont="1" applyFill="1" applyBorder="1" applyAlignment="1">
      <alignment horizontal="left" vertical="top" wrapText="1"/>
    </xf>
    <xf numFmtId="0" fontId="35" fillId="27" borderId="23" xfId="191" applyFont="1" applyFill="1" applyBorder="1" applyAlignment="1">
      <alignment horizontal="center"/>
    </xf>
    <xf numFmtId="0" fontId="35" fillId="27" borderId="42" xfId="191" applyFont="1" applyFill="1" applyBorder="1" applyAlignment="1">
      <alignment horizontal="center"/>
    </xf>
    <xf numFmtId="0" fontId="35" fillId="27" borderId="19" xfId="191" applyFont="1" applyFill="1" applyBorder="1" applyAlignment="1">
      <alignment horizontal="center"/>
    </xf>
    <xf numFmtId="165" fontId="35" fillId="0" borderId="18" xfId="192" applyNumberFormat="1" applyFont="1" applyBorder="1" applyAlignment="1">
      <alignment horizontal="center"/>
    </xf>
    <xf numFmtId="165" fontId="35" fillId="27" borderId="23" xfId="192" applyNumberFormat="1" applyFont="1" applyFill="1" applyBorder="1" applyAlignment="1">
      <alignment horizontal="center"/>
    </xf>
    <xf numFmtId="165" fontId="35" fillId="27" borderId="42" xfId="192" applyNumberFormat="1" applyFont="1" applyFill="1" applyBorder="1" applyAlignment="1">
      <alignment horizontal="center"/>
    </xf>
    <xf numFmtId="165" fontId="35" fillId="27" borderId="19" xfId="192" applyNumberFormat="1" applyFont="1" applyFill="1" applyBorder="1" applyAlignment="1">
      <alignment horizontal="center"/>
    </xf>
    <xf numFmtId="0" fontId="35" fillId="0" borderId="18" xfId="191" applyFont="1" applyBorder="1" applyAlignment="1">
      <alignment horizontal="center"/>
    </xf>
    <xf numFmtId="0" fontId="35" fillId="0" borderId="23" xfId="191" applyFont="1" applyBorder="1" applyAlignment="1">
      <alignment horizontal="center"/>
    </xf>
    <xf numFmtId="0" fontId="35" fillId="0" borderId="42" xfId="191" applyFont="1" applyBorder="1" applyAlignment="1">
      <alignment horizontal="center"/>
    </xf>
    <xf numFmtId="0" fontId="35" fillId="0" borderId="19" xfId="191" applyFont="1" applyBorder="1" applyAlignment="1">
      <alignment horizontal="center"/>
    </xf>
  </cellXfs>
  <cellStyles count="218">
    <cellStyle name="Comma" xfId="75" builtinId="3"/>
    <cellStyle name="Comma 2" xfId="83"/>
    <cellStyle name="Comma 2 2" xfId="197"/>
    <cellStyle name="Comma 2 3" xfId="202"/>
    <cellStyle name="Comma 2 4" xfId="214"/>
    <cellStyle name="Comma 3" xfId="85"/>
    <cellStyle name="Comma 3 2" xfId="203"/>
    <cellStyle name="Comma 3 3" xfId="215"/>
    <cellStyle name="Comma 4" xfId="89"/>
    <cellStyle name="Comma 4 2" xfId="198"/>
    <cellStyle name="Comma 4 3" xfId="211"/>
    <cellStyle name="Comma 5" xfId="93"/>
    <cellStyle name="Comma 5 2" xfId="194"/>
    <cellStyle name="Comma 5 3" xfId="204"/>
    <cellStyle name="Comma 5 4" xfId="216"/>
    <cellStyle name="Comma 6" xfId="100"/>
    <cellStyle name="Comma 6 2" xfId="205"/>
    <cellStyle name="Comma 6 3" xfId="217"/>
    <cellStyle name="Comma 7" xfId="192"/>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80" builtinId="9" hidden="1"/>
    <cellStyle name="Followed Hyperlink" xfId="81" builtinId="9" hidden="1"/>
    <cellStyle name="Followed Hyperlink" xfId="94" builtinId="9" hidden="1"/>
    <cellStyle name="Followed Hyperlink" xfId="95" builtinId="9" hidden="1"/>
    <cellStyle name="Followed Hyperlink" xfId="96" builtinId="9" hidden="1"/>
    <cellStyle name="Followed Hyperlink" xfId="97" builtinId="9" hidden="1"/>
    <cellStyle name="Good" xfId="92" builtinId="26"/>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7" builtinId="8"/>
    <cellStyle name="Lien hypertexte 2" xfId="101"/>
    <cellStyle name="Milliers 2 10" xfId="102"/>
    <cellStyle name="Milliers 2 11" xfId="103"/>
    <cellStyle name="Milliers 2 12" xfId="104"/>
    <cellStyle name="Milliers 2 13" xfId="105"/>
    <cellStyle name="Milliers 2 14" xfId="106"/>
    <cellStyle name="Milliers 2 15" xfId="107"/>
    <cellStyle name="Milliers 2 16" xfId="108"/>
    <cellStyle name="Milliers 2 17" xfId="109"/>
    <cellStyle name="Milliers 2 18" xfId="110"/>
    <cellStyle name="Milliers 2 19" xfId="111"/>
    <cellStyle name="Milliers 2 2" xfId="112"/>
    <cellStyle name="Milliers 2 20" xfId="113"/>
    <cellStyle name="Milliers 2 21" xfId="114"/>
    <cellStyle name="Milliers 2 22" xfId="115"/>
    <cellStyle name="Milliers 2 23" xfId="116"/>
    <cellStyle name="Milliers 2 24" xfId="117"/>
    <cellStyle name="Milliers 2 25" xfId="118"/>
    <cellStyle name="Milliers 2 26" xfId="119"/>
    <cellStyle name="Milliers 2 27" xfId="120"/>
    <cellStyle name="Milliers 2 28" xfId="121"/>
    <cellStyle name="Milliers 2 29" xfId="122"/>
    <cellStyle name="Milliers 2 3" xfId="123"/>
    <cellStyle name="Milliers 2 30" xfId="124"/>
    <cellStyle name="Milliers 2 4" xfId="125"/>
    <cellStyle name="Milliers 2 5" xfId="126"/>
    <cellStyle name="Milliers 2 6" xfId="127"/>
    <cellStyle name="Milliers 2 7" xfId="128"/>
    <cellStyle name="Milliers 2 8" xfId="129"/>
    <cellStyle name="Milliers 2 9" xfId="130"/>
    <cellStyle name="Normal" xfId="0" builtinId="0"/>
    <cellStyle name="Normal 2" xfId="1"/>
    <cellStyle name="Normal 2 10" xfId="131"/>
    <cellStyle name="Normal 2 11" xfId="132"/>
    <cellStyle name="Normal 2 12" xfId="133"/>
    <cellStyle name="Normal 2 13" xfId="134"/>
    <cellStyle name="Normal 2 14" xfId="135"/>
    <cellStyle name="Normal 2 15" xfId="136"/>
    <cellStyle name="Normal 2 16" xfId="137"/>
    <cellStyle name="Normal 2 17" xfId="138"/>
    <cellStyle name="Normal 2 18" xfId="139"/>
    <cellStyle name="Normal 2 19" xfId="140"/>
    <cellStyle name="Normal 2 2" xfId="90"/>
    <cellStyle name="Normal 2 2 2" xfId="193"/>
    <cellStyle name="Normal 2 20" xfId="141"/>
    <cellStyle name="Normal 2 21" xfId="142"/>
    <cellStyle name="Normal 2 22" xfId="143"/>
    <cellStyle name="Normal 2 23" xfId="144"/>
    <cellStyle name="Normal 2 24" xfId="145"/>
    <cellStyle name="Normal 2 25" xfId="146"/>
    <cellStyle name="Normal 2 26" xfId="147"/>
    <cellStyle name="Normal 2 27" xfId="148"/>
    <cellStyle name="Normal 2 28" xfId="149"/>
    <cellStyle name="Normal 2 29" xfId="150"/>
    <cellStyle name="Normal 2 3" xfId="151"/>
    <cellStyle name="Normal 2 30" xfId="152"/>
    <cellStyle name="Normal 2 31" xfId="153"/>
    <cellStyle name="Normal 2 32" xfId="154"/>
    <cellStyle name="Normal 2 4" xfId="155"/>
    <cellStyle name="Normal 2 5" xfId="156"/>
    <cellStyle name="Normal 2 6" xfId="157"/>
    <cellStyle name="Normal 2 7" xfId="158"/>
    <cellStyle name="Normal 2 8" xfId="159"/>
    <cellStyle name="Normal 2 9" xfId="160"/>
    <cellStyle name="Normal 3" xfId="2"/>
    <cellStyle name="Normal 3 2" xfId="199"/>
    <cellStyle name="Normal 3 3" xfId="212"/>
    <cellStyle name="Normal 4" xfId="82"/>
    <cellStyle name="Normal 4 2" xfId="190"/>
    <cellStyle name="Normal 4 3" xfId="191"/>
    <cellStyle name="Normal 4 4" xfId="206"/>
    <cellStyle name="Normal 5" xfId="87"/>
    <cellStyle name="Normal 5 2" xfId="207"/>
    <cellStyle name="Normal 6" xfId="98"/>
    <cellStyle name="Normal 6 2" xfId="200"/>
    <cellStyle name="Normal 7" xfId="196"/>
    <cellStyle name="Normal_PRY Core" xfId="78"/>
    <cellStyle name="Normal_PRY Core_1" xfId="79"/>
    <cellStyle name="Percent" xfId="76" builtinId="5"/>
    <cellStyle name="Percent 2" xfId="84"/>
    <cellStyle name="Percent 2 2" xfId="208"/>
    <cellStyle name="Percent 3" xfId="86"/>
    <cellStyle name="Percent 3 2" xfId="209"/>
    <cellStyle name="Percent 4" xfId="88"/>
    <cellStyle name="Percent 5" xfId="91"/>
    <cellStyle name="Percent 5 2" xfId="195"/>
    <cellStyle name="Percent 5 3" xfId="201"/>
    <cellStyle name="Percent 5 4" xfId="213"/>
    <cellStyle name="Percent 6" xfId="99"/>
    <cellStyle name="Percent 6 2" xfId="210"/>
    <cellStyle name="Pourcentage 2 10" xfId="161"/>
    <cellStyle name="Pourcentage 2 11" xfId="162"/>
    <cellStyle name="Pourcentage 2 12" xfId="163"/>
    <cellStyle name="Pourcentage 2 13" xfId="164"/>
    <cellStyle name="Pourcentage 2 14" xfId="165"/>
    <cellStyle name="Pourcentage 2 15" xfId="166"/>
    <cellStyle name="Pourcentage 2 16" xfId="167"/>
    <cellStyle name="Pourcentage 2 17" xfId="168"/>
    <cellStyle name="Pourcentage 2 18" xfId="169"/>
    <cellStyle name="Pourcentage 2 19" xfId="170"/>
    <cellStyle name="Pourcentage 2 2" xfId="171"/>
    <cellStyle name="Pourcentage 2 20" xfId="172"/>
    <cellStyle name="Pourcentage 2 21" xfId="173"/>
    <cellStyle name="Pourcentage 2 22" xfId="174"/>
    <cellStyle name="Pourcentage 2 23" xfId="175"/>
    <cellStyle name="Pourcentage 2 24" xfId="176"/>
    <cellStyle name="Pourcentage 2 25" xfId="177"/>
    <cellStyle name="Pourcentage 2 26" xfId="178"/>
    <cellStyle name="Pourcentage 2 27" xfId="179"/>
    <cellStyle name="Pourcentage 2 28" xfId="180"/>
    <cellStyle name="Pourcentage 2 29" xfId="181"/>
    <cellStyle name="Pourcentage 2 3" xfId="182"/>
    <cellStyle name="Pourcentage 2 30" xfId="183"/>
    <cellStyle name="Pourcentage 2 4" xfId="184"/>
    <cellStyle name="Pourcentage 2 5" xfId="185"/>
    <cellStyle name="Pourcentage 2 6" xfId="186"/>
    <cellStyle name="Pourcentage 2 7" xfId="187"/>
    <cellStyle name="Pourcentage 2 8" xfId="188"/>
    <cellStyle name="Pourcentage 2 9" xfId="189"/>
  </cellStyles>
  <dxfs count="0"/>
  <tableStyles count="0" defaultTableStyle="TableStyleMedium9" defaultPivotStyle="PivotStyleMedium4"/>
  <colors>
    <mruColors>
      <color rgb="FF00FFFF"/>
      <color rgb="FFFF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57"/>
  <sheetViews>
    <sheetView tabSelected="1" view="pageBreakPreview" zoomScale="85" zoomScaleSheetLayoutView="85" workbookViewId="0">
      <pane xSplit="4" ySplit="2" topLeftCell="T3" activePane="bottomRight" state="frozen"/>
      <selection pane="topRight" activeCell="D1" sqref="D1"/>
      <selection pane="bottomLeft" activeCell="A3" sqref="A3"/>
      <selection pane="bottomRight" activeCell="C167" sqref="C167"/>
    </sheetView>
  </sheetViews>
  <sheetFormatPr defaultColWidth="8.85546875" defaultRowHeight="12.75" x14ac:dyDescent="0.2"/>
  <cols>
    <col min="1" max="1" width="11.42578125" bestFit="1" customWidth="1"/>
    <col min="2" max="2" width="29.28515625" customWidth="1"/>
    <col min="3" max="3" width="43.7109375" customWidth="1"/>
    <col min="4" max="4" width="11.42578125" customWidth="1"/>
    <col min="5" max="5" width="11.85546875" customWidth="1"/>
    <col min="6" max="6" width="9" customWidth="1"/>
    <col min="7" max="7" width="16.42578125" customWidth="1"/>
    <col min="8" max="8" width="10.42578125" customWidth="1"/>
    <col min="9" max="9" width="11.28515625" customWidth="1"/>
    <col min="10" max="10" width="12.28515625" customWidth="1"/>
    <col min="11" max="11" width="11.42578125" customWidth="1"/>
    <col min="12" max="12" width="13.85546875" customWidth="1"/>
    <col min="13" max="13" width="13.85546875" style="13" customWidth="1"/>
    <col min="14" max="14" width="13" customWidth="1"/>
    <col min="15" max="15" width="12.7109375" customWidth="1"/>
    <col min="16" max="16" width="11.85546875" customWidth="1"/>
    <col min="17" max="17" width="10.28515625" customWidth="1"/>
    <col min="18" max="19" width="11" customWidth="1"/>
    <col min="20" max="20" width="10.7109375" customWidth="1"/>
    <col min="21" max="21" width="11.28515625" customWidth="1"/>
    <col min="22" max="22" width="13.42578125" customWidth="1"/>
    <col min="23" max="23" width="12.85546875" customWidth="1"/>
    <col min="24" max="24" width="12" customWidth="1"/>
    <col min="25" max="25" width="10.7109375" customWidth="1"/>
    <col min="26" max="26" width="16" bestFit="1" customWidth="1"/>
    <col min="27" max="27" width="13.85546875" bestFit="1" customWidth="1"/>
    <col min="28" max="28" width="20.42578125" bestFit="1" customWidth="1"/>
  </cols>
  <sheetData>
    <row r="1" spans="1:28" ht="13.5" thickBot="1" x14ac:dyDescent="0.25">
      <c r="A1" s="8" t="s">
        <v>222</v>
      </c>
      <c r="B1" s="2191" t="s">
        <v>53</v>
      </c>
      <c r="C1" s="1883"/>
      <c r="D1" s="1883"/>
      <c r="E1" s="1883"/>
      <c r="F1" s="1883"/>
      <c r="G1" s="1883"/>
      <c r="H1" s="1883"/>
      <c r="I1" s="1883"/>
      <c r="J1" s="1883"/>
      <c r="K1" s="1883"/>
      <c r="L1" s="1883"/>
      <c r="M1" s="1883"/>
      <c r="N1" s="1883"/>
      <c r="O1" s="1883"/>
      <c r="P1" s="1883"/>
      <c r="Q1" s="1883"/>
      <c r="R1" s="1883"/>
      <c r="S1" s="1883"/>
      <c r="T1" s="1883"/>
      <c r="U1" s="1883"/>
      <c r="V1" s="1883"/>
      <c r="W1" s="1883"/>
      <c r="X1" s="1883"/>
      <c r="Y1" s="1883"/>
      <c r="Z1" s="1883"/>
      <c r="AA1" s="1883"/>
      <c r="AB1" s="1884"/>
    </row>
    <row r="2" spans="1:28" ht="13.5" customHeight="1" thickBot="1" x14ac:dyDescent="0.25">
      <c r="A2" s="8" t="s">
        <v>220</v>
      </c>
      <c r="B2" s="858" t="s">
        <v>171</v>
      </c>
      <c r="C2" s="859" t="s">
        <v>172</v>
      </c>
      <c r="D2" s="330"/>
      <c r="E2" s="1982" t="s">
        <v>457</v>
      </c>
      <c r="F2" s="1983"/>
      <c r="G2" s="1983"/>
      <c r="H2" s="1983"/>
      <c r="I2" s="1983"/>
      <c r="J2" s="1984"/>
      <c r="K2" s="1982" t="s">
        <v>327</v>
      </c>
      <c r="L2" s="2004"/>
      <c r="M2" s="2004"/>
      <c r="N2" s="2004"/>
      <c r="O2" s="2004"/>
      <c r="P2" s="2005"/>
      <c r="Q2" s="2159">
        <v>2015</v>
      </c>
      <c r="R2" s="2160"/>
      <c r="S2" s="2160"/>
      <c r="T2" s="2160"/>
      <c r="U2" s="2160"/>
      <c r="V2" s="2161"/>
      <c r="W2" s="2159" t="s">
        <v>162</v>
      </c>
      <c r="X2" s="2160"/>
      <c r="Y2" s="2160"/>
      <c r="Z2" s="2160"/>
      <c r="AA2" s="2160"/>
      <c r="AB2" s="2161"/>
    </row>
    <row r="3" spans="1:28" ht="21.75" customHeight="1" x14ac:dyDescent="0.2">
      <c r="A3" s="8" t="s">
        <v>220</v>
      </c>
      <c r="B3" s="2152"/>
      <c r="C3" s="2155" t="s">
        <v>456</v>
      </c>
      <c r="D3" s="848" t="s">
        <v>12</v>
      </c>
      <c r="E3" s="374"/>
      <c r="F3" s="374"/>
      <c r="G3" s="374"/>
      <c r="H3" s="374"/>
      <c r="I3" s="374"/>
      <c r="J3" s="374"/>
      <c r="K3" s="1222"/>
      <c r="L3" s="860"/>
      <c r="M3" s="860"/>
      <c r="N3" s="860"/>
      <c r="O3" s="860"/>
      <c r="P3" s="860"/>
      <c r="Q3" s="861"/>
      <c r="R3" s="860"/>
      <c r="S3" s="860"/>
      <c r="T3" s="860"/>
      <c r="U3" s="860"/>
      <c r="V3" s="860"/>
      <c r="W3" s="805"/>
      <c r="X3" s="806"/>
      <c r="Y3" s="806"/>
      <c r="Z3" s="806"/>
      <c r="AA3" s="806"/>
      <c r="AB3" s="807"/>
    </row>
    <row r="4" spans="1:28" ht="17.25" customHeight="1" thickBot="1" x14ac:dyDescent="0.25">
      <c r="A4" s="8" t="s">
        <v>220</v>
      </c>
      <c r="B4" s="2152"/>
      <c r="C4" s="2156"/>
      <c r="D4" s="3" t="s">
        <v>10</v>
      </c>
      <c r="E4" s="331" t="s">
        <v>458</v>
      </c>
      <c r="F4" s="332"/>
      <c r="G4" s="2172">
        <v>46</v>
      </c>
      <c r="H4" s="2172"/>
      <c r="I4" s="2172"/>
      <c r="J4" s="2172"/>
      <c r="K4" s="1223"/>
      <c r="L4" s="333"/>
      <c r="M4" s="333"/>
      <c r="N4" s="333"/>
      <c r="O4" s="333"/>
      <c r="P4" s="333"/>
      <c r="Q4" s="334"/>
      <c r="R4" s="333"/>
      <c r="S4" s="333"/>
      <c r="T4" s="333"/>
      <c r="U4" s="333"/>
      <c r="V4" s="333"/>
      <c r="W4" s="1151" t="s">
        <v>458</v>
      </c>
      <c r="X4" s="1152"/>
      <c r="Y4" s="1849">
        <v>42</v>
      </c>
      <c r="Z4" s="1849"/>
      <c r="AA4" s="1849"/>
      <c r="AB4" s="1850"/>
    </row>
    <row r="5" spans="1:28" x14ac:dyDescent="0.2">
      <c r="A5" s="8" t="s">
        <v>221</v>
      </c>
      <c r="B5" s="2152"/>
      <c r="C5" s="2156"/>
      <c r="D5" s="862"/>
      <c r="E5" s="863" t="s">
        <v>18</v>
      </c>
      <c r="F5" s="863" t="s">
        <v>17</v>
      </c>
      <c r="G5" s="863" t="s">
        <v>16</v>
      </c>
      <c r="H5" s="863" t="s">
        <v>15</v>
      </c>
      <c r="I5" s="863" t="s">
        <v>14</v>
      </c>
      <c r="J5" s="864" t="s">
        <v>13</v>
      </c>
      <c r="K5" s="1224"/>
      <c r="L5" s="333"/>
      <c r="M5" s="333"/>
      <c r="N5" s="333"/>
      <c r="O5" s="333"/>
      <c r="P5" s="333"/>
      <c r="Q5" s="334"/>
      <c r="R5" s="333"/>
      <c r="S5" s="333"/>
      <c r="T5" s="333"/>
      <c r="U5" s="333"/>
      <c r="V5" s="333"/>
      <c r="W5" s="335" t="s">
        <v>18</v>
      </c>
      <c r="X5" s="336" t="s">
        <v>17</v>
      </c>
      <c r="Y5" s="336" t="s">
        <v>16</v>
      </c>
      <c r="Z5" s="336" t="s">
        <v>15</v>
      </c>
      <c r="AA5" s="336" t="s">
        <v>14</v>
      </c>
      <c r="AB5" s="337" t="s">
        <v>13</v>
      </c>
    </row>
    <row r="6" spans="1:28" ht="18.75" customHeight="1" x14ac:dyDescent="0.2">
      <c r="A6" s="8" t="s">
        <v>221</v>
      </c>
      <c r="B6" s="2152"/>
      <c r="C6" s="2156"/>
      <c r="D6" s="21" t="s">
        <v>12</v>
      </c>
      <c r="E6" s="374"/>
      <c r="F6" s="374"/>
      <c r="G6" s="374"/>
      <c r="H6" s="374"/>
      <c r="I6" s="374"/>
      <c r="J6" s="374"/>
      <c r="K6" s="1224"/>
      <c r="L6" s="333"/>
      <c r="M6" s="333"/>
      <c r="N6" s="333"/>
      <c r="O6" s="333"/>
      <c r="P6" s="333"/>
      <c r="Q6" s="334"/>
      <c r="R6" s="333"/>
      <c r="S6" s="333"/>
      <c r="T6" s="333"/>
      <c r="U6" s="333"/>
      <c r="V6" s="333"/>
      <c r="W6" s="338">
        <v>44</v>
      </c>
      <c r="X6" s="339">
        <v>74</v>
      </c>
      <c r="Y6" s="339">
        <v>43</v>
      </c>
      <c r="Z6" s="339">
        <v>51</v>
      </c>
      <c r="AA6" s="339">
        <v>49</v>
      </c>
      <c r="AB6" s="340">
        <v>19</v>
      </c>
    </row>
    <row r="7" spans="1:28" ht="18.75" customHeight="1" thickBot="1" x14ac:dyDescent="0.25">
      <c r="A7" s="8" t="s">
        <v>221</v>
      </c>
      <c r="B7" s="2152"/>
      <c r="C7" s="2156"/>
      <c r="D7" s="22" t="s">
        <v>10</v>
      </c>
      <c r="E7" s="339">
        <v>48</v>
      </c>
      <c r="F7" s="339">
        <v>78</v>
      </c>
      <c r="G7" s="339">
        <v>47</v>
      </c>
      <c r="H7" s="339">
        <v>56</v>
      </c>
      <c r="I7" s="339">
        <v>53</v>
      </c>
      <c r="J7" s="340">
        <v>23</v>
      </c>
      <c r="K7" s="1225"/>
      <c r="L7" s="865"/>
      <c r="M7" s="865"/>
      <c r="N7" s="865"/>
      <c r="O7" s="865"/>
      <c r="P7" s="865"/>
      <c r="Q7" s="866"/>
      <c r="R7" s="865"/>
      <c r="S7" s="865"/>
      <c r="T7" s="865"/>
      <c r="U7" s="865"/>
      <c r="V7" s="865"/>
      <c r="W7" s="341"/>
      <c r="X7" s="342"/>
      <c r="Y7" s="342"/>
      <c r="Z7" s="342"/>
      <c r="AA7" s="342"/>
      <c r="AB7" s="343"/>
    </row>
    <row r="8" spans="1:28" ht="18.75" customHeight="1" thickBot="1" x14ac:dyDescent="0.25">
      <c r="A8" s="8" t="s">
        <v>220</v>
      </c>
      <c r="B8" s="2152"/>
      <c r="C8" s="344"/>
      <c r="D8" s="3"/>
      <c r="E8" s="2162" t="s">
        <v>7</v>
      </c>
      <c r="F8" s="2163"/>
      <c r="G8" s="2163"/>
      <c r="H8" s="2163"/>
      <c r="I8" s="2163"/>
      <c r="J8" s="2163"/>
      <c r="K8" s="2163"/>
      <c r="L8" s="2163"/>
      <c r="M8" s="2163"/>
      <c r="N8" s="2163"/>
      <c r="O8" s="2163"/>
      <c r="P8" s="2163"/>
      <c r="Q8" s="2163"/>
      <c r="R8" s="2163"/>
      <c r="S8" s="2163"/>
      <c r="T8" s="2163"/>
      <c r="U8" s="2163"/>
      <c r="V8" s="2163"/>
      <c r="W8" s="2163"/>
      <c r="X8" s="2163"/>
      <c r="Y8" s="2163"/>
      <c r="Z8" s="2163"/>
      <c r="AA8" s="2163"/>
      <c r="AB8" s="2164"/>
    </row>
    <row r="9" spans="1:28" ht="13.5" customHeight="1" thickBot="1" x14ac:dyDescent="0.25">
      <c r="A9" s="8" t="s">
        <v>220</v>
      </c>
      <c r="B9" s="2152"/>
      <c r="C9" s="344"/>
      <c r="D9" s="867"/>
      <c r="E9" s="1954" t="s">
        <v>459</v>
      </c>
      <c r="F9" s="1955"/>
      <c r="G9" s="1955"/>
      <c r="H9" s="1955"/>
      <c r="I9" s="1955"/>
      <c r="J9" s="1955"/>
      <c r="K9" s="1955"/>
      <c r="L9" s="1955"/>
      <c r="M9" s="1955"/>
      <c r="N9" s="1955"/>
      <c r="O9" s="1955"/>
      <c r="P9" s="1955"/>
      <c r="Q9" s="1955"/>
      <c r="R9" s="1955"/>
      <c r="S9" s="1955"/>
      <c r="T9" s="1955"/>
      <c r="U9" s="1955"/>
      <c r="V9" s="1955"/>
      <c r="W9" s="1955"/>
      <c r="X9" s="1955"/>
      <c r="Y9" s="1955"/>
      <c r="Z9" s="1955"/>
      <c r="AA9" s="1955"/>
      <c r="AB9" s="1957"/>
    </row>
    <row r="10" spans="1:28" ht="13.5" thickBot="1" x14ac:dyDescent="0.25">
      <c r="A10" s="8" t="s">
        <v>220</v>
      </c>
      <c r="B10" s="2152"/>
      <c r="C10" s="480" t="s">
        <v>504</v>
      </c>
      <c r="D10" s="868"/>
      <c r="E10" s="1878" t="s">
        <v>455</v>
      </c>
      <c r="F10" s="1883"/>
      <c r="G10" s="1883"/>
      <c r="H10" s="1883"/>
      <c r="I10" s="1883"/>
      <c r="J10" s="1884"/>
      <c r="K10" s="1982"/>
      <c r="L10" s="2004"/>
      <c r="M10" s="2004"/>
      <c r="N10" s="2004"/>
      <c r="O10" s="2004"/>
      <c r="P10" s="2005"/>
      <c r="Q10" s="2159"/>
      <c r="R10" s="2160"/>
      <c r="S10" s="2160"/>
      <c r="T10" s="2160"/>
      <c r="U10" s="2160"/>
      <c r="V10" s="2160"/>
      <c r="W10" s="1881" t="s">
        <v>162</v>
      </c>
      <c r="X10" s="1882"/>
      <c r="Y10" s="1882"/>
      <c r="Z10" s="1882"/>
      <c r="AA10" s="1882"/>
      <c r="AB10" s="1947"/>
    </row>
    <row r="11" spans="1:28" ht="21.75" customHeight="1" x14ac:dyDescent="0.2">
      <c r="A11" s="8" t="s">
        <v>220</v>
      </c>
      <c r="B11" s="2152"/>
      <c r="C11" s="2200" t="s">
        <v>819</v>
      </c>
      <c r="D11" s="848" t="s">
        <v>12</v>
      </c>
      <c r="E11" s="374"/>
      <c r="F11" s="374"/>
      <c r="G11" s="374"/>
      <c r="H11" s="374"/>
      <c r="I11" s="374"/>
      <c r="J11" s="374"/>
      <c r="K11" s="861"/>
      <c r="L11" s="860"/>
      <c r="M11" s="860"/>
      <c r="N11" s="860"/>
      <c r="O11" s="860"/>
      <c r="P11" s="860"/>
      <c r="Q11" s="861"/>
      <c r="R11" s="860"/>
      <c r="S11" s="860"/>
      <c r="T11" s="860"/>
      <c r="U11" s="860"/>
      <c r="V11" s="860"/>
      <c r="W11" s="805"/>
      <c r="X11" s="806"/>
      <c r="Y11" s="806"/>
      <c r="Z11" s="806"/>
      <c r="AA11" s="806"/>
      <c r="AB11" s="807"/>
    </row>
    <row r="12" spans="1:28" ht="17.25" customHeight="1" thickBot="1" x14ac:dyDescent="0.25">
      <c r="A12" s="8" t="s">
        <v>220</v>
      </c>
      <c r="B12" s="2152"/>
      <c r="C12" s="2201"/>
      <c r="D12" s="3" t="s">
        <v>10</v>
      </c>
      <c r="E12" s="331" t="s">
        <v>458</v>
      </c>
      <c r="F12" s="332"/>
      <c r="G12" s="2172">
        <v>20</v>
      </c>
      <c r="H12" s="2172"/>
      <c r="I12" s="2172"/>
      <c r="J12" s="2172"/>
      <c r="K12" s="334"/>
      <c r="L12" s="333"/>
      <c r="M12" s="333"/>
      <c r="N12" s="333"/>
      <c r="O12" s="333"/>
      <c r="P12" s="333"/>
      <c r="Q12" s="334"/>
      <c r="R12" s="333"/>
      <c r="S12" s="333"/>
      <c r="T12" s="333"/>
      <c r="U12" s="333"/>
      <c r="V12" s="333"/>
      <c r="W12" s="1151" t="s">
        <v>458</v>
      </c>
      <c r="X12" s="1152"/>
      <c r="Y12" s="1849">
        <v>19</v>
      </c>
      <c r="Z12" s="1849"/>
      <c r="AA12" s="1849"/>
      <c r="AB12" s="1850"/>
    </row>
    <row r="13" spans="1:28" ht="13.5" thickBot="1" x14ac:dyDescent="0.25">
      <c r="A13" s="8" t="s">
        <v>221</v>
      </c>
      <c r="B13" s="2152"/>
      <c r="C13" s="2201"/>
      <c r="D13" s="868"/>
      <c r="E13" s="863" t="s">
        <v>18</v>
      </c>
      <c r="F13" s="863" t="s">
        <v>17</v>
      </c>
      <c r="G13" s="863" t="s">
        <v>16</v>
      </c>
      <c r="H13" s="863" t="s">
        <v>15</v>
      </c>
      <c r="I13" s="863" t="s">
        <v>14</v>
      </c>
      <c r="J13" s="864" t="s">
        <v>13</v>
      </c>
      <c r="K13" s="719"/>
      <c r="L13" s="720"/>
      <c r="M13" s="720"/>
      <c r="N13" s="720"/>
      <c r="O13" s="720"/>
      <c r="P13" s="720"/>
      <c r="Q13" s="721"/>
      <c r="R13" s="722"/>
      <c r="S13" s="722"/>
      <c r="T13" s="722"/>
      <c r="U13" s="722"/>
      <c r="V13" s="722"/>
      <c r="W13" s="863" t="s">
        <v>18</v>
      </c>
      <c r="X13" s="863" t="s">
        <v>17</v>
      </c>
      <c r="Y13" s="863" t="s">
        <v>16</v>
      </c>
      <c r="Z13" s="863" t="s">
        <v>15</v>
      </c>
      <c r="AA13" s="863" t="s">
        <v>14</v>
      </c>
      <c r="AB13" s="864" t="s">
        <v>13</v>
      </c>
    </row>
    <row r="14" spans="1:28" ht="24.75" customHeight="1" thickBot="1" x14ac:dyDescent="0.25">
      <c r="A14" s="8" t="s">
        <v>221</v>
      </c>
      <c r="B14" s="2152"/>
      <c r="C14" s="2201"/>
      <c r="D14" s="869" t="s">
        <v>173</v>
      </c>
      <c r="E14" s="345"/>
      <c r="F14" s="346"/>
      <c r="G14" s="346"/>
      <c r="H14" s="346"/>
      <c r="I14" s="346"/>
      <c r="J14" s="347"/>
      <c r="K14" s="870"/>
      <c r="L14" s="871"/>
      <c r="M14" s="872"/>
      <c r="N14" s="871"/>
      <c r="O14" s="871"/>
      <c r="P14" s="871"/>
      <c r="Q14" s="870"/>
      <c r="R14" s="871"/>
      <c r="S14" s="871"/>
      <c r="T14" s="871"/>
      <c r="U14" s="871"/>
      <c r="V14" s="873"/>
      <c r="W14" s="348">
        <v>2.7</v>
      </c>
      <c r="X14" s="349">
        <v>63.3</v>
      </c>
      <c r="Y14" s="349">
        <v>36.5</v>
      </c>
      <c r="Z14" s="349">
        <v>40.5</v>
      </c>
      <c r="AA14" s="349">
        <v>8</v>
      </c>
      <c r="AB14" s="350">
        <v>0.2</v>
      </c>
    </row>
    <row r="15" spans="1:28" ht="23.25" customHeight="1" thickBot="1" x14ac:dyDescent="0.25">
      <c r="A15" s="8" t="s">
        <v>221</v>
      </c>
      <c r="B15" s="2152"/>
      <c r="C15" s="2201"/>
      <c r="D15" s="3" t="s">
        <v>10</v>
      </c>
      <c r="E15" s="348">
        <v>3.7</v>
      </c>
      <c r="F15" s="349">
        <v>64.3</v>
      </c>
      <c r="G15" s="349">
        <v>37.5</v>
      </c>
      <c r="H15" s="349">
        <v>41.5</v>
      </c>
      <c r="I15" s="349">
        <v>9</v>
      </c>
      <c r="J15" s="351">
        <v>1.2</v>
      </c>
      <c r="K15" s="874"/>
      <c r="L15" s="875"/>
      <c r="M15" s="876"/>
      <c r="N15" s="875"/>
      <c r="O15" s="875"/>
      <c r="P15" s="875"/>
      <c r="Q15" s="874"/>
      <c r="R15" s="875"/>
      <c r="S15" s="875"/>
      <c r="T15" s="875"/>
      <c r="U15" s="875"/>
      <c r="V15" s="877"/>
      <c r="W15" s="352"/>
      <c r="X15" s="353"/>
      <c r="Y15" s="353"/>
      <c r="Z15" s="353"/>
      <c r="AA15" s="353"/>
      <c r="AB15" s="354"/>
    </row>
    <row r="16" spans="1:28" ht="13.5" thickBot="1" x14ac:dyDescent="0.25">
      <c r="A16" s="8" t="s">
        <v>220</v>
      </c>
      <c r="B16" s="2152"/>
      <c r="C16" s="2201"/>
      <c r="D16" s="3"/>
      <c r="E16" s="2165" t="s">
        <v>7</v>
      </c>
      <c r="F16" s="2166"/>
      <c r="G16" s="2166"/>
      <c r="H16" s="2166"/>
      <c r="I16" s="2166"/>
      <c r="J16" s="2166"/>
      <c r="K16" s="2167"/>
      <c r="L16" s="2167"/>
      <c r="M16" s="2167"/>
      <c r="N16" s="2167"/>
      <c r="O16" s="2167"/>
      <c r="P16" s="2167"/>
      <c r="Q16" s="2167"/>
      <c r="R16" s="2167"/>
      <c r="S16" s="2167"/>
      <c r="T16" s="2167"/>
      <c r="U16" s="2167"/>
      <c r="V16" s="2167"/>
      <c r="W16" s="2166"/>
      <c r="X16" s="2166"/>
      <c r="Y16" s="2166"/>
      <c r="Z16" s="2166"/>
      <c r="AA16" s="2166"/>
      <c r="AB16" s="2168"/>
    </row>
    <row r="17" spans="1:28" ht="13.5" thickBot="1" x14ac:dyDescent="0.25">
      <c r="A17" s="8" t="s">
        <v>220</v>
      </c>
      <c r="B17" s="2153"/>
      <c r="C17" s="2202"/>
      <c r="D17" s="867"/>
      <c r="E17" s="2169" t="s">
        <v>798</v>
      </c>
      <c r="F17" s="2170"/>
      <c r="G17" s="2170"/>
      <c r="H17" s="2170"/>
      <c r="I17" s="2170"/>
      <c r="J17" s="2170"/>
      <c r="K17" s="2170"/>
      <c r="L17" s="2170"/>
      <c r="M17" s="2170"/>
      <c r="N17" s="2170"/>
      <c r="O17" s="2170"/>
      <c r="P17" s="2170"/>
      <c r="Q17" s="2170"/>
      <c r="R17" s="2170"/>
      <c r="S17" s="2170"/>
      <c r="T17" s="2170"/>
      <c r="U17" s="2170"/>
      <c r="V17" s="2170"/>
      <c r="W17" s="2170"/>
      <c r="X17" s="2170"/>
      <c r="Y17" s="2170"/>
      <c r="Z17" s="2170"/>
      <c r="AA17" s="2170"/>
      <c r="AB17" s="2171"/>
    </row>
    <row r="18" spans="1:28" ht="15" customHeight="1" thickBot="1" x14ac:dyDescent="0.25">
      <c r="A18" s="8" t="s">
        <v>220</v>
      </c>
      <c r="B18" s="858" t="s">
        <v>52</v>
      </c>
      <c r="C18" s="859" t="s">
        <v>175</v>
      </c>
      <c r="D18" s="859"/>
      <c r="E18" s="2192" t="s">
        <v>217</v>
      </c>
      <c r="F18" s="2193"/>
      <c r="G18" s="2193"/>
      <c r="H18" s="2193"/>
      <c r="I18" s="2193"/>
      <c r="J18" s="2194"/>
      <c r="K18" s="2192" t="s">
        <v>327</v>
      </c>
      <c r="L18" s="2195"/>
      <c r="M18" s="2195"/>
      <c r="N18" s="2195"/>
      <c r="O18" s="2195"/>
      <c r="P18" s="2196"/>
      <c r="Q18" s="2197"/>
      <c r="R18" s="2198"/>
      <c r="S18" s="2198"/>
      <c r="T18" s="2198"/>
      <c r="U18" s="2198"/>
      <c r="V18" s="2199"/>
      <c r="W18" s="2197" t="s">
        <v>162</v>
      </c>
      <c r="X18" s="2198"/>
      <c r="Y18" s="2198"/>
      <c r="Z18" s="2198"/>
      <c r="AA18" s="2198"/>
      <c r="AB18" s="2199"/>
    </row>
    <row r="19" spans="1:28" ht="12.75" customHeight="1" x14ac:dyDescent="0.2">
      <c r="A19" s="8" t="s">
        <v>220</v>
      </c>
      <c r="B19" s="355"/>
      <c r="C19" s="2231" t="s">
        <v>1194</v>
      </c>
      <c r="D19" s="2203" t="s">
        <v>12</v>
      </c>
      <c r="E19" s="878" t="s">
        <v>51</v>
      </c>
      <c r="F19" s="879"/>
      <c r="G19" s="879"/>
      <c r="H19" s="880" t="s">
        <v>49</v>
      </c>
      <c r="I19" s="880" t="s">
        <v>48</v>
      </c>
      <c r="J19" s="881" t="s">
        <v>47</v>
      </c>
      <c r="K19" s="2441" t="s">
        <v>1195</v>
      </c>
      <c r="L19" s="2442"/>
      <c r="M19" s="2442"/>
      <c r="N19" s="2442"/>
      <c r="O19" s="2442"/>
      <c r="P19" s="2443"/>
      <c r="Q19" s="2433"/>
      <c r="R19" s="2434"/>
      <c r="S19" s="2434"/>
      <c r="T19" s="2434"/>
      <c r="U19" s="2434"/>
      <c r="V19" s="2435"/>
      <c r="W19" s="2436" t="s">
        <v>51</v>
      </c>
      <c r="X19" s="2437"/>
      <c r="Y19" s="2437"/>
      <c r="Z19" s="562" t="s">
        <v>49</v>
      </c>
      <c r="AA19" s="562" t="s">
        <v>48</v>
      </c>
      <c r="AB19" s="1170" t="s">
        <v>47</v>
      </c>
    </row>
    <row r="20" spans="1:28" ht="12.95" customHeight="1" x14ac:dyDescent="0.2">
      <c r="A20" s="8" t="s">
        <v>220</v>
      </c>
      <c r="B20" s="1836" t="s">
        <v>54</v>
      </c>
      <c r="C20" s="2232"/>
      <c r="D20" s="2233"/>
      <c r="E20" s="2181" t="s">
        <v>87</v>
      </c>
      <c r="F20" s="2172"/>
      <c r="G20" s="331"/>
      <c r="H20" s="356">
        <v>30</v>
      </c>
      <c r="I20" s="356">
        <v>28</v>
      </c>
      <c r="J20" s="357">
        <v>31</v>
      </c>
      <c r="K20" s="2444"/>
      <c r="L20" s="2445"/>
      <c r="M20" s="2445"/>
      <c r="N20" s="2445"/>
      <c r="O20" s="2445"/>
      <c r="P20" s="2446"/>
      <c r="Q20" s="1090"/>
      <c r="R20" s="1091"/>
      <c r="S20" s="1091"/>
      <c r="T20" s="1091"/>
      <c r="U20" s="1091"/>
      <c r="V20" s="1092"/>
      <c r="W20" s="1980" t="s">
        <v>87</v>
      </c>
      <c r="X20" s="1981"/>
      <c r="Y20" s="1093"/>
      <c r="Z20" s="1171" t="s">
        <v>1069</v>
      </c>
      <c r="AA20" s="1171" t="s">
        <v>1073</v>
      </c>
      <c r="AB20" s="1172" t="s">
        <v>1074</v>
      </c>
    </row>
    <row r="21" spans="1:28" ht="13.5" customHeight="1" thickBot="1" x14ac:dyDescent="0.25">
      <c r="A21" s="8" t="s">
        <v>220</v>
      </c>
      <c r="B21" s="1836"/>
      <c r="C21" s="2232"/>
      <c r="D21" s="2233"/>
      <c r="E21" s="2181" t="s">
        <v>88</v>
      </c>
      <c r="F21" s="2438"/>
      <c r="G21" s="359"/>
      <c r="H21" s="356">
        <v>34</v>
      </c>
      <c r="I21" s="356">
        <v>34</v>
      </c>
      <c r="J21" s="357">
        <v>34</v>
      </c>
      <c r="K21" s="2444"/>
      <c r="L21" s="2445"/>
      <c r="M21" s="2445"/>
      <c r="N21" s="2445"/>
      <c r="O21" s="2445"/>
      <c r="P21" s="2446"/>
      <c r="Q21" s="2184"/>
      <c r="R21" s="2185"/>
      <c r="S21" s="2185"/>
      <c r="T21" s="2185"/>
      <c r="U21" s="2185"/>
      <c r="V21" s="2186"/>
      <c r="W21" s="1980" t="s">
        <v>88</v>
      </c>
      <c r="X21" s="1981"/>
      <c r="Y21" s="1094"/>
      <c r="Z21" s="1171" t="s">
        <v>1070</v>
      </c>
      <c r="AA21" s="1171" t="s">
        <v>1075</v>
      </c>
      <c r="AB21" s="1172" t="s">
        <v>1076</v>
      </c>
    </row>
    <row r="22" spans="1:28" ht="14.25" customHeight="1" x14ac:dyDescent="0.2">
      <c r="A22" s="8" t="s">
        <v>220</v>
      </c>
      <c r="B22" s="1836"/>
      <c r="C22" s="2232"/>
      <c r="D22" s="1836"/>
      <c r="E22" s="361" t="s">
        <v>50</v>
      </c>
      <c r="F22" s="362"/>
      <c r="G22" s="362"/>
      <c r="H22" s="880" t="s">
        <v>49</v>
      </c>
      <c r="I22" s="880" t="s">
        <v>48</v>
      </c>
      <c r="J22" s="881" t="s">
        <v>47</v>
      </c>
      <c r="K22" s="2444"/>
      <c r="L22" s="2445"/>
      <c r="M22" s="2445"/>
      <c r="N22" s="2445"/>
      <c r="O22" s="2445"/>
      <c r="P22" s="2446"/>
      <c r="Q22" s="2184"/>
      <c r="R22" s="2185"/>
      <c r="S22" s="2185"/>
      <c r="T22" s="2185"/>
      <c r="U22" s="2185"/>
      <c r="V22" s="2186"/>
      <c r="W22" s="2439" t="s">
        <v>50</v>
      </c>
      <c r="X22" s="2440"/>
      <c r="Y22" s="2440"/>
      <c r="Z22" s="1138" t="s">
        <v>49</v>
      </c>
      <c r="AA22" s="1138" t="s">
        <v>48</v>
      </c>
      <c r="AB22" s="1139" t="s">
        <v>47</v>
      </c>
    </row>
    <row r="23" spans="1:28" ht="14.25" customHeight="1" x14ac:dyDescent="0.2">
      <c r="A23" s="8" t="s">
        <v>220</v>
      </c>
      <c r="B23" s="1836"/>
      <c r="C23" s="2232"/>
      <c r="D23" s="1836"/>
      <c r="E23" s="2181" t="s">
        <v>87</v>
      </c>
      <c r="F23" s="2172"/>
      <c r="G23" s="331"/>
      <c r="H23" s="356">
        <v>4</v>
      </c>
      <c r="I23" s="356">
        <v>4</v>
      </c>
      <c r="J23" s="357">
        <v>5</v>
      </c>
      <c r="K23" s="2444"/>
      <c r="L23" s="2445"/>
      <c r="M23" s="2445"/>
      <c r="N23" s="2445"/>
      <c r="O23" s="2445"/>
      <c r="P23" s="2446"/>
      <c r="Q23" s="1090"/>
      <c r="R23" s="1091"/>
      <c r="S23" s="1091"/>
      <c r="T23" s="1091"/>
      <c r="U23" s="1091"/>
      <c r="V23" s="1092"/>
      <c r="W23" s="1980" t="s">
        <v>87</v>
      </c>
      <c r="X23" s="1981"/>
      <c r="Y23" s="1093"/>
      <c r="Z23" s="1171" t="s">
        <v>1071</v>
      </c>
      <c r="AA23" s="1171" t="s">
        <v>1077</v>
      </c>
      <c r="AB23" s="1172" t="s">
        <v>1080</v>
      </c>
    </row>
    <row r="24" spans="1:28" ht="12.75" customHeight="1" thickBot="1" x14ac:dyDescent="0.25">
      <c r="A24" s="8" t="s">
        <v>220</v>
      </c>
      <c r="B24" s="1836"/>
      <c r="C24" s="2232"/>
      <c r="D24" s="1836"/>
      <c r="E24" s="2252" t="s">
        <v>88</v>
      </c>
      <c r="F24" s="2253"/>
      <c r="G24" s="882"/>
      <c r="H24" s="883">
        <v>29</v>
      </c>
      <c r="I24" s="883">
        <v>29</v>
      </c>
      <c r="J24" s="884">
        <v>29</v>
      </c>
      <c r="K24" s="2447"/>
      <c r="L24" s="2448"/>
      <c r="M24" s="2448"/>
      <c r="N24" s="2448"/>
      <c r="O24" s="2448"/>
      <c r="P24" s="2449"/>
      <c r="Q24" s="2184"/>
      <c r="R24" s="2185"/>
      <c r="S24" s="2185"/>
      <c r="T24" s="2185"/>
      <c r="U24" s="2185"/>
      <c r="V24" s="2186"/>
      <c r="W24" s="2263" t="s">
        <v>88</v>
      </c>
      <c r="X24" s="1898"/>
      <c r="Y24" s="1096"/>
      <c r="Z24" s="1173" t="s">
        <v>1072</v>
      </c>
      <c r="AA24" s="1173" t="s">
        <v>1078</v>
      </c>
      <c r="AB24" s="1174" t="s">
        <v>1079</v>
      </c>
    </row>
    <row r="25" spans="1:28" ht="12.95" customHeight="1" x14ac:dyDescent="0.2">
      <c r="A25" s="8" t="s">
        <v>220</v>
      </c>
      <c r="B25" s="1836"/>
      <c r="C25" s="2232"/>
      <c r="D25" s="2203" t="s">
        <v>10</v>
      </c>
      <c r="E25" s="2459" t="s">
        <v>51</v>
      </c>
      <c r="F25" s="2460"/>
      <c r="G25" s="2460"/>
      <c r="H25" s="556" t="s">
        <v>49</v>
      </c>
      <c r="I25" s="556" t="s">
        <v>48</v>
      </c>
      <c r="J25" s="668" t="s">
        <v>47</v>
      </c>
      <c r="K25" s="2436" t="s">
        <v>51</v>
      </c>
      <c r="L25" s="2437"/>
      <c r="M25" s="2437"/>
      <c r="N25" s="556" t="s">
        <v>49</v>
      </c>
      <c r="O25" s="556" t="s">
        <v>48</v>
      </c>
      <c r="P25" s="668" t="s">
        <v>47</v>
      </c>
      <c r="Q25" s="2184"/>
      <c r="R25" s="2185"/>
      <c r="S25" s="2185"/>
      <c r="T25" s="2185"/>
      <c r="U25" s="2185"/>
      <c r="V25" s="2186"/>
      <c r="W25" s="2436" t="s">
        <v>51</v>
      </c>
      <c r="X25" s="2437"/>
      <c r="Y25" s="2437"/>
      <c r="Z25" s="1790" t="s">
        <v>49</v>
      </c>
      <c r="AA25" s="1790" t="s">
        <v>48</v>
      </c>
      <c r="AB25" s="1791" t="s">
        <v>47</v>
      </c>
    </row>
    <row r="26" spans="1:28" ht="27.75" customHeight="1" x14ac:dyDescent="0.2">
      <c r="A26" s="8" t="s">
        <v>220</v>
      </c>
      <c r="B26" s="1836"/>
      <c r="C26" s="2232"/>
      <c r="D26" s="2233"/>
      <c r="E26" s="2181" t="s">
        <v>87</v>
      </c>
      <c r="F26" s="2172"/>
      <c r="G26" s="2172"/>
      <c r="H26" s="1165" t="s">
        <v>1057</v>
      </c>
      <c r="I26" s="1165" t="s">
        <v>1065</v>
      </c>
      <c r="J26" s="1165" t="s">
        <v>1067</v>
      </c>
      <c r="K26" s="1980" t="s">
        <v>87</v>
      </c>
      <c r="L26" s="1981"/>
      <c r="M26" s="358"/>
      <c r="N26" s="1155" t="s">
        <v>1045</v>
      </c>
      <c r="O26" s="1159" t="s">
        <v>1049</v>
      </c>
      <c r="P26" s="1162" t="s">
        <v>1053</v>
      </c>
      <c r="Q26" s="1090"/>
      <c r="R26" s="1091"/>
      <c r="S26" s="1091"/>
      <c r="T26" s="1091"/>
      <c r="U26" s="1091"/>
      <c r="V26" s="1092"/>
      <c r="W26" s="1980" t="s">
        <v>87</v>
      </c>
      <c r="X26" s="1981"/>
      <c r="Y26" s="1093"/>
      <c r="Z26" s="1798" t="s">
        <v>1565</v>
      </c>
      <c r="AA26" s="1798" t="s">
        <v>1566</v>
      </c>
      <c r="AB26" s="1799" t="s">
        <v>1567</v>
      </c>
    </row>
    <row r="27" spans="1:28" ht="14.25" customHeight="1" x14ac:dyDescent="0.2">
      <c r="A27" s="8" t="s">
        <v>220</v>
      </c>
      <c r="B27" s="1836"/>
      <c r="C27" s="2232"/>
      <c r="D27" s="2233"/>
      <c r="E27" s="2181" t="s">
        <v>88</v>
      </c>
      <c r="F27" s="2172"/>
      <c r="G27" s="2172"/>
      <c r="H27" s="1165" t="s">
        <v>1058</v>
      </c>
      <c r="I27" s="1168" t="s">
        <v>1066</v>
      </c>
      <c r="J27" s="1169" t="s">
        <v>1068</v>
      </c>
      <c r="K27" s="2187" t="s">
        <v>88</v>
      </c>
      <c r="L27" s="2188"/>
      <c r="M27" s="360"/>
      <c r="N27" s="1156" t="s">
        <v>1046</v>
      </c>
      <c r="O27" s="1160" t="s">
        <v>1050</v>
      </c>
      <c r="P27" s="1163" t="s">
        <v>1054</v>
      </c>
      <c r="Q27" s="2184"/>
      <c r="R27" s="2185"/>
      <c r="S27" s="2185"/>
      <c r="T27" s="2185"/>
      <c r="U27" s="2185"/>
      <c r="V27" s="2186"/>
      <c r="W27" s="2187" t="s">
        <v>88</v>
      </c>
      <c r="X27" s="2188"/>
      <c r="Y27" s="363"/>
      <c r="Z27" s="1800" t="s">
        <v>1568</v>
      </c>
      <c r="AA27" s="1800" t="s">
        <v>1569</v>
      </c>
      <c r="AB27" s="1801" t="s">
        <v>1570</v>
      </c>
    </row>
    <row r="28" spans="1:28" ht="12.95" customHeight="1" x14ac:dyDescent="0.2">
      <c r="A28" s="8" t="s">
        <v>220</v>
      </c>
      <c r="B28" s="1836"/>
      <c r="C28" s="2232"/>
      <c r="D28" s="2233"/>
      <c r="E28" s="2189" t="s">
        <v>50</v>
      </c>
      <c r="F28" s="2190"/>
      <c r="G28" s="2190"/>
      <c r="H28" s="366" t="s">
        <v>49</v>
      </c>
      <c r="I28" s="366" t="s">
        <v>48</v>
      </c>
      <c r="J28" s="367" t="s">
        <v>47</v>
      </c>
      <c r="K28" s="2182" t="s">
        <v>50</v>
      </c>
      <c r="L28" s="2183"/>
      <c r="M28" s="2183"/>
      <c r="N28" s="368" t="s">
        <v>49</v>
      </c>
      <c r="O28" s="369" t="s">
        <v>48</v>
      </c>
      <c r="P28" s="370" t="s">
        <v>47</v>
      </c>
      <c r="Q28" s="2184"/>
      <c r="R28" s="2185"/>
      <c r="S28" s="2185"/>
      <c r="T28" s="2185"/>
      <c r="U28" s="2185"/>
      <c r="V28" s="2186"/>
      <c r="W28" s="2182" t="s">
        <v>50</v>
      </c>
      <c r="X28" s="2183"/>
      <c r="Y28" s="2183"/>
      <c r="Z28" s="1792" t="s">
        <v>49</v>
      </c>
      <c r="AA28" s="1792" t="s">
        <v>48</v>
      </c>
      <c r="AB28" s="1793" t="s">
        <v>47</v>
      </c>
    </row>
    <row r="29" spans="1:28" ht="27.75" customHeight="1" x14ac:dyDescent="0.2">
      <c r="A29" s="8" t="s">
        <v>220</v>
      </c>
      <c r="B29" s="1836"/>
      <c r="C29" s="2232"/>
      <c r="D29" s="2233"/>
      <c r="E29" s="2181" t="s">
        <v>87</v>
      </c>
      <c r="F29" s="2172"/>
      <c r="G29" s="2172"/>
      <c r="H29" s="1165" t="s">
        <v>1059</v>
      </c>
      <c r="I29" s="1165" t="s">
        <v>1061</v>
      </c>
      <c r="J29" s="1165" t="s">
        <v>1062</v>
      </c>
      <c r="K29" s="1980" t="s">
        <v>87</v>
      </c>
      <c r="L29" s="1981"/>
      <c r="M29" s="358"/>
      <c r="N29" s="1157" t="s">
        <v>1047</v>
      </c>
      <c r="O29" s="1159" t="s">
        <v>1051</v>
      </c>
      <c r="P29" s="1162" t="s">
        <v>1055</v>
      </c>
      <c r="Q29" s="1090"/>
      <c r="R29" s="1091"/>
      <c r="S29" s="1091"/>
      <c r="T29" s="1091"/>
      <c r="U29" s="1091"/>
      <c r="V29" s="1092"/>
      <c r="W29" s="1980" t="s">
        <v>87</v>
      </c>
      <c r="X29" s="1981"/>
      <c r="Y29" s="1093"/>
      <c r="Z29" s="1794" t="s">
        <v>1571</v>
      </c>
      <c r="AA29" s="1794" t="s">
        <v>1572</v>
      </c>
      <c r="AB29" s="1795" t="s">
        <v>1573</v>
      </c>
    </row>
    <row r="30" spans="1:28" ht="28.5" customHeight="1" thickBot="1" x14ac:dyDescent="0.25">
      <c r="A30" s="8" t="s">
        <v>220</v>
      </c>
      <c r="B30" s="1836"/>
      <c r="C30" s="2232"/>
      <c r="D30" s="2233"/>
      <c r="E30" s="2252" t="s">
        <v>88</v>
      </c>
      <c r="F30" s="2253"/>
      <c r="G30" s="2253"/>
      <c r="H30" s="1166" t="s">
        <v>1060</v>
      </c>
      <c r="I30" s="1166" t="s">
        <v>1063</v>
      </c>
      <c r="J30" s="1167" t="s">
        <v>1064</v>
      </c>
      <c r="K30" s="2263" t="s">
        <v>88</v>
      </c>
      <c r="L30" s="1898"/>
      <c r="M30" s="1095"/>
      <c r="N30" s="1158" t="s">
        <v>1048</v>
      </c>
      <c r="O30" s="1161" t="s">
        <v>1052</v>
      </c>
      <c r="P30" s="1164" t="s">
        <v>1056</v>
      </c>
      <c r="Q30" s="2184"/>
      <c r="R30" s="2185"/>
      <c r="S30" s="2185"/>
      <c r="T30" s="2185"/>
      <c r="U30" s="2185"/>
      <c r="V30" s="2186"/>
      <c r="W30" s="2187" t="s">
        <v>88</v>
      </c>
      <c r="X30" s="2188"/>
      <c r="Y30" s="363"/>
      <c r="Z30" s="1794" t="s">
        <v>1574</v>
      </c>
      <c r="AA30" s="1796" t="s">
        <v>1575</v>
      </c>
      <c r="AB30" s="1797" t="s">
        <v>1576</v>
      </c>
    </row>
    <row r="31" spans="1:28" ht="13.5" customHeight="1" thickBot="1" x14ac:dyDescent="0.25">
      <c r="A31" s="8" t="s">
        <v>220</v>
      </c>
      <c r="B31" s="1836"/>
      <c r="C31" s="1097"/>
      <c r="D31" s="715"/>
      <c r="E31" s="2032" t="s">
        <v>176</v>
      </c>
      <c r="F31" s="2033"/>
      <c r="G31" s="2033"/>
      <c r="H31" s="2033"/>
      <c r="I31" s="2033"/>
      <c r="J31" s="2033"/>
      <c r="K31" s="2033"/>
      <c r="L31" s="2033"/>
      <c r="M31" s="2033"/>
      <c r="N31" s="2033"/>
      <c r="O31" s="2033"/>
      <c r="P31" s="2033"/>
      <c r="Q31" s="2033"/>
      <c r="R31" s="2033"/>
      <c r="S31" s="2033"/>
      <c r="T31" s="2033"/>
      <c r="U31" s="2033"/>
      <c r="V31" s="2033"/>
      <c r="W31" s="2033"/>
      <c r="X31" s="2033"/>
      <c r="Y31" s="2033"/>
      <c r="Z31" s="2033"/>
      <c r="AA31" s="2033"/>
      <c r="AB31" s="2034"/>
    </row>
    <row r="32" spans="1:28" ht="13.5" customHeight="1" thickBot="1" x14ac:dyDescent="0.25">
      <c r="A32" s="8" t="s">
        <v>221</v>
      </c>
      <c r="B32" s="1836"/>
      <c r="C32" s="1097"/>
      <c r="D32" s="885" t="s">
        <v>12</v>
      </c>
      <c r="E32" s="1878" t="s">
        <v>218</v>
      </c>
      <c r="F32" s="1883"/>
      <c r="G32" s="1883"/>
      <c r="H32" s="1883"/>
      <c r="I32" s="1883"/>
      <c r="J32" s="1884"/>
      <c r="K32" s="1878" t="s">
        <v>327</v>
      </c>
      <c r="L32" s="1879"/>
      <c r="M32" s="1879"/>
      <c r="N32" s="1879"/>
      <c r="O32" s="1879"/>
      <c r="P32" s="1880"/>
      <c r="Q32" s="2032"/>
      <c r="R32" s="2033"/>
      <c r="S32" s="2033"/>
      <c r="T32" s="2033"/>
      <c r="U32" s="2033"/>
      <c r="V32" s="2033"/>
      <c r="W32" s="1881" t="s">
        <v>162</v>
      </c>
      <c r="X32" s="1882"/>
      <c r="Y32" s="1882"/>
      <c r="Z32" s="1882"/>
      <c r="AA32" s="1882"/>
      <c r="AB32" s="1947"/>
    </row>
    <row r="33" spans="1:28" ht="13.5" customHeight="1" thickBot="1" x14ac:dyDescent="0.25">
      <c r="A33" s="8" t="s">
        <v>221</v>
      </c>
      <c r="B33" s="1836"/>
      <c r="C33" s="1097"/>
      <c r="D33" s="788" t="s">
        <v>177</v>
      </c>
      <c r="E33" s="720" t="s">
        <v>18</v>
      </c>
      <c r="F33" s="377" t="s">
        <v>17</v>
      </c>
      <c r="G33" s="377" t="s">
        <v>16</v>
      </c>
      <c r="H33" s="377" t="s">
        <v>15</v>
      </c>
      <c r="I33" s="377" t="s">
        <v>14</v>
      </c>
      <c r="J33" s="378" t="s">
        <v>13</v>
      </c>
      <c r="K33" s="719" t="s">
        <v>18</v>
      </c>
      <c r="L33" s="377" t="s">
        <v>17</v>
      </c>
      <c r="M33" s="822" t="s">
        <v>16</v>
      </c>
      <c r="N33" s="377" t="s">
        <v>15</v>
      </c>
      <c r="O33" s="886" t="s">
        <v>14</v>
      </c>
      <c r="P33" s="887" t="s">
        <v>13</v>
      </c>
      <c r="Q33" s="2450"/>
      <c r="R33" s="2451"/>
      <c r="S33" s="2451"/>
      <c r="T33" s="2451"/>
      <c r="U33" s="2451"/>
      <c r="V33" s="2451"/>
      <c r="W33" s="719" t="s">
        <v>18</v>
      </c>
      <c r="X33" s="377" t="s">
        <v>17</v>
      </c>
      <c r="Y33" s="377" t="s">
        <v>16</v>
      </c>
      <c r="Z33" s="377" t="s">
        <v>15</v>
      </c>
      <c r="AA33" s="377" t="s">
        <v>14</v>
      </c>
      <c r="AB33" s="378" t="s">
        <v>13</v>
      </c>
    </row>
    <row r="34" spans="1:28" ht="25.5" x14ac:dyDescent="0.2">
      <c r="A34" s="8" t="s">
        <v>221</v>
      </c>
      <c r="B34" s="1836"/>
      <c r="C34" s="1097"/>
      <c r="D34" s="800" t="s">
        <v>233</v>
      </c>
      <c r="E34" s="805"/>
      <c r="F34" s="806" t="s">
        <v>414</v>
      </c>
      <c r="G34" s="806"/>
      <c r="H34" s="806"/>
      <c r="I34" s="806"/>
      <c r="J34" s="807"/>
      <c r="K34" s="2458"/>
      <c r="L34" s="2458"/>
      <c r="M34" s="2458"/>
      <c r="N34" s="2458"/>
      <c r="O34" s="2458"/>
      <c r="P34" s="2458"/>
      <c r="Q34" s="805"/>
      <c r="R34" s="806"/>
      <c r="S34" s="806"/>
      <c r="T34" s="806"/>
      <c r="U34" s="806"/>
      <c r="V34" s="819"/>
      <c r="W34" s="1175" t="s">
        <v>1082</v>
      </c>
      <c r="X34" s="1179" t="s">
        <v>1085</v>
      </c>
      <c r="Y34" s="1179" t="s">
        <v>1087</v>
      </c>
      <c r="Z34" s="1179" t="s">
        <v>1090</v>
      </c>
      <c r="AA34" s="1180" t="s">
        <v>1093</v>
      </c>
      <c r="AB34" s="1181" t="s">
        <v>1096</v>
      </c>
    </row>
    <row r="35" spans="1:28" ht="25.5" x14ac:dyDescent="0.2">
      <c r="A35" s="8" t="s">
        <v>221</v>
      </c>
      <c r="B35" s="1836"/>
      <c r="C35" s="1097"/>
      <c r="D35" s="800" t="s">
        <v>234</v>
      </c>
      <c r="E35" s="808"/>
      <c r="F35" s="374"/>
      <c r="G35" s="374"/>
      <c r="H35" s="374"/>
      <c r="I35" s="374"/>
      <c r="J35" s="809"/>
      <c r="K35" s="24"/>
      <c r="L35" s="25"/>
      <c r="M35" s="26"/>
      <c r="N35" s="25"/>
      <c r="O35" s="25"/>
      <c r="P35" s="25"/>
      <c r="Q35" s="808"/>
      <c r="R35" s="374"/>
      <c r="S35" s="374"/>
      <c r="T35" s="374"/>
      <c r="U35" s="374"/>
      <c r="V35" s="820"/>
      <c r="W35" s="1175" t="s">
        <v>1083</v>
      </c>
      <c r="X35" s="1179" t="s">
        <v>1086</v>
      </c>
      <c r="Y35" s="1179" t="s">
        <v>1088</v>
      </c>
      <c r="Z35" s="1179" t="s">
        <v>1091</v>
      </c>
      <c r="AA35" s="1180" t="s">
        <v>1094</v>
      </c>
      <c r="AB35" s="1181" t="s">
        <v>1097</v>
      </c>
    </row>
    <row r="36" spans="1:28" ht="25.5" x14ac:dyDescent="0.2">
      <c r="A36" s="8" t="s">
        <v>221</v>
      </c>
      <c r="B36" s="1836"/>
      <c r="C36" s="1097"/>
      <c r="D36" s="800" t="s">
        <v>241</v>
      </c>
      <c r="E36" s="808"/>
      <c r="F36" s="374"/>
      <c r="G36" s="374"/>
      <c r="H36" s="374"/>
      <c r="I36" s="374"/>
      <c r="J36" s="809"/>
      <c r="K36" s="1154"/>
      <c r="L36" s="1154"/>
      <c r="M36" s="1154"/>
      <c r="N36" s="1154"/>
      <c r="O36" s="1154"/>
      <c r="P36" s="1154"/>
      <c r="Q36" s="808"/>
      <c r="R36" s="374"/>
      <c r="S36" s="374"/>
      <c r="T36" s="374"/>
      <c r="U36" s="374"/>
      <c r="V36" s="820"/>
      <c r="W36" s="1175" t="s">
        <v>1081</v>
      </c>
      <c r="X36" s="1179" t="s">
        <v>1084</v>
      </c>
      <c r="Y36" s="1179" t="s">
        <v>1089</v>
      </c>
      <c r="Z36" s="1179" t="s">
        <v>1092</v>
      </c>
      <c r="AA36" s="1180" t="s">
        <v>1095</v>
      </c>
      <c r="AB36" s="1181" t="s">
        <v>1098</v>
      </c>
    </row>
    <row r="37" spans="1:28" ht="33" customHeight="1" x14ac:dyDescent="0.2">
      <c r="A37" s="8" t="s">
        <v>221</v>
      </c>
      <c r="B37" s="1836"/>
      <c r="C37" s="1097"/>
      <c r="D37" s="801" t="s">
        <v>235</v>
      </c>
      <c r="E37" s="808"/>
      <c r="F37" s="374"/>
      <c r="G37" s="374"/>
      <c r="H37" s="374"/>
      <c r="I37" s="374"/>
      <c r="J37" s="809"/>
      <c r="K37" s="1154"/>
      <c r="L37" s="1154"/>
      <c r="M37" s="1154"/>
      <c r="N37" s="1154"/>
      <c r="O37" s="1154"/>
      <c r="P37" s="1154"/>
      <c r="Q37" s="808"/>
      <c r="R37" s="374"/>
      <c r="S37" s="374"/>
      <c r="T37" s="374"/>
      <c r="U37" s="374"/>
      <c r="V37" s="820"/>
      <c r="W37" s="1182" t="s">
        <v>1099</v>
      </c>
      <c r="X37" s="1179" t="s">
        <v>1102</v>
      </c>
      <c r="Y37" s="1179" t="s">
        <v>1105</v>
      </c>
      <c r="Z37" s="1180" t="s">
        <v>1108</v>
      </c>
      <c r="AA37" s="1179" t="s">
        <v>1111</v>
      </c>
      <c r="AB37" s="1181" t="s">
        <v>1114</v>
      </c>
    </row>
    <row r="38" spans="1:28" ht="30" customHeight="1" x14ac:dyDescent="0.2">
      <c r="A38" s="8" t="s">
        <v>221</v>
      </c>
      <c r="B38" s="1836"/>
      <c r="C38" s="1097"/>
      <c r="D38" s="802" t="s">
        <v>236</v>
      </c>
      <c r="E38" s="808"/>
      <c r="F38" s="374"/>
      <c r="G38" s="374"/>
      <c r="H38" s="374"/>
      <c r="I38" s="374"/>
      <c r="J38" s="809"/>
      <c r="K38" s="1154"/>
      <c r="L38" s="1154"/>
      <c r="M38" s="1154"/>
      <c r="N38" s="1154"/>
      <c r="O38" s="1154"/>
      <c r="P38" s="1154"/>
      <c r="Q38" s="808"/>
      <c r="R38" s="374"/>
      <c r="S38" s="374"/>
      <c r="T38" s="374"/>
      <c r="U38" s="374"/>
      <c r="V38" s="820"/>
      <c r="W38" s="1182" t="s">
        <v>1100</v>
      </c>
      <c r="X38" s="1179" t="s">
        <v>1103</v>
      </c>
      <c r="Y38" s="1179" t="s">
        <v>1106</v>
      </c>
      <c r="Z38" s="1180" t="s">
        <v>1109</v>
      </c>
      <c r="AA38" s="1179" t="s">
        <v>1112</v>
      </c>
      <c r="AB38" s="1181" t="s">
        <v>1115</v>
      </c>
    </row>
    <row r="39" spans="1:28" ht="32.25" customHeight="1" x14ac:dyDescent="0.2">
      <c r="A39" s="8" t="s">
        <v>221</v>
      </c>
      <c r="B39" s="1836"/>
      <c r="C39" s="1097"/>
      <c r="D39" s="800" t="s">
        <v>242</v>
      </c>
      <c r="E39" s="808"/>
      <c r="F39" s="374"/>
      <c r="G39" s="374"/>
      <c r="H39" s="374"/>
      <c r="I39" s="374"/>
      <c r="J39" s="809"/>
      <c r="K39" s="1154"/>
      <c r="L39" s="1154"/>
      <c r="M39" s="1154"/>
      <c r="N39" s="1154"/>
      <c r="O39" s="1154"/>
      <c r="P39" s="1154"/>
      <c r="Q39" s="808"/>
      <c r="R39" s="374"/>
      <c r="S39" s="374"/>
      <c r="T39" s="374"/>
      <c r="U39" s="374"/>
      <c r="V39" s="820"/>
      <c r="W39" s="1182" t="s">
        <v>1101</v>
      </c>
      <c r="X39" s="1179" t="s">
        <v>1104</v>
      </c>
      <c r="Y39" s="1179" t="s">
        <v>1107</v>
      </c>
      <c r="Z39" s="1180" t="s">
        <v>1110</v>
      </c>
      <c r="AA39" s="1179" t="s">
        <v>1113</v>
      </c>
      <c r="AB39" s="1181" t="s">
        <v>1116</v>
      </c>
    </row>
    <row r="40" spans="1:28" ht="13.5" customHeight="1" x14ac:dyDescent="0.2">
      <c r="A40" s="8" t="s">
        <v>221</v>
      </c>
      <c r="B40" s="1836"/>
      <c r="C40" s="1097"/>
      <c r="D40" s="803" t="s">
        <v>178</v>
      </c>
      <c r="E40" s="808"/>
      <c r="F40" s="374"/>
      <c r="G40" s="374"/>
      <c r="H40" s="374"/>
      <c r="I40" s="374"/>
      <c r="J40" s="809"/>
      <c r="K40" s="1154"/>
      <c r="L40" s="1154"/>
      <c r="M40" s="1154"/>
      <c r="N40" s="1154"/>
      <c r="O40" s="1154"/>
      <c r="P40" s="1154"/>
      <c r="Q40" s="808"/>
      <c r="R40" s="374"/>
      <c r="S40" s="374"/>
      <c r="T40" s="374"/>
      <c r="U40" s="374"/>
      <c r="V40" s="820"/>
      <c r="W40" s="1177"/>
      <c r="X40" s="1176"/>
      <c r="Y40" s="1176"/>
      <c r="Z40" s="1176"/>
      <c r="AA40" s="1176"/>
      <c r="AB40" s="1178"/>
    </row>
    <row r="41" spans="1:28" ht="35.25" customHeight="1" x14ac:dyDescent="0.2">
      <c r="A41" s="8" t="s">
        <v>221</v>
      </c>
      <c r="B41" s="1836"/>
      <c r="C41" s="1097"/>
      <c r="D41" s="802" t="s">
        <v>243</v>
      </c>
      <c r="E41" s="808"/>
      <c r="F41" s="374"/>
      <c r="G41" s="374"/>
      <c r="H41" s="374"/>
      <c r="I41" s="374"/>
      <c r="J41" s="809"/>
      <c r="K41" s="1154"/>
      <c r="L41" s="1154"/>
      <c r="M41" s="1154"/>
      <c r="N41" s="1154"/>
      <c r="O41" s="1154"/>
      <c r="P41" s="1154"/>
      <c r="Q41" s="808"/>
      <c r="R41" s="374"/>
      <c r="S41" s="374"/>
      <c r="T41" s="374"/>
      <c r="U41" s="374"/>
      <c r="V41" s="820"/>
      <c r="W41" s="1183" t="s">
        <v>1117</v>
      </c>
      <c r="X41" s="1179" t="s">
        <v>1120</v>
      </c>
      <c r="Y41" s="1179" t="s">
        <v>1123</v>
      </c>
      <c r="Z41" s="1179" t="s">
        <v>1126</v>
      </c>
      <c r="AA41" s="1179" t="s">
        <v>1129</v>
      </c>
      <c r="AB41" s="1181" t="s">
        <v>1132</v>
      </c>
    </row>
    <row r="42" spans="1:28" ht="35.25" customHeight="1" x14ac:dyDescent="0.2">
      <c r="A42" s="8" t="s">
        <v>221</v>
      </c>
      <c r="B42" s="1836"/>
      <c r="C42" s="1097"/>
      <c r="D42" s="802" t="s">
        <v>244</v>
      </c>
      <c r="E42" s="808"/>
      <c r="F42" s="374"/>
      <c r="G42" s="374"/>
      <c r="H42" s="374"/>
      <c r="I42" s="374"/>
      <c r="J42" s="809"/>
      <c r="K42" s="1154"/>
      <c r="L42" s="1154"/>
      <c r="M42" s="1154"/>
      <c r="N42" s="1154"/>
      <c r="O42" s="1154"/>
      <c r="P42" s="1154"/>
      <c r="Q42" s="808"/>
      <c r="R42" s="374"/>
      <c r="S42" s="374"/>
      <c r="T42" s="374"/>
      <c r="U42" s="374"/>
      <c r="V42" s="820"/>
      <c r="W42" s="1182" t="s">
        <v>1118</v>
      </c>
      <c r="X42" s="1179" t="s">
        <v>1121</v>
      </c>
      <c r="Y42" s="1179" t="s">
        <v>1124</v>
      </c>
      <c r="Z42" s="1179" t="s">
        <v>1127</v>
      </c>
      <c r="AA42" s="1179" t="s">
        <v>1130</v>
      </c>
      <c r="AB42" s="1181" t="s">
        <v>1133</v>
      </c>
    </row>
    <row r="43" spans="1:28" ht="26.25" customHeight="1" x14ac:dyDescent="0.2">
      <c r="A43" s="8" t="s">
        <v>221</v>
      </c>
      <c r="B43" s="1836"/>
      <c r="C43" s="1097"/>
      <c r="D43" s="802" t="s">
        <v>241</v>
      </c>
      <c r="E43" s="808"/>
      <c r="F43" s="374"/>
      <c r="G43" s="374"/>
      <c r="H43" s="374"/>
      <c r="I43" s="374"/>
      <c r="J43" s="809"/>
      <c r="K43" s="1154"/>
      <c r="L43" s="1154"/>
      <c r="M43" s="1154"/>
      <c r="N43" s="1154"/>
      <c r="O43" s="1154"/>
      <c r="P43" s="1154"/>
      <c r="Q43" s="808"/>
      <c r="R43" s="374"/>
      <c r="S43" s="374"/>
      <c r="T43" s="374"/>
      <c r="U43" s="374"/>
      <c r="V43" s="820"/>
      <c r="W43" s="1182" t="s">
        <v>1119</v>
      </c>
      <c r="X43" s="1179" t="s">
        <v>1122</v>
      </c>
      <c r="Y43" s="1179" t="s">
        <v>1125</v>
      </c>
      <c r="Z43" s="1179" t="s">
        <v>1128</v>
      </c>
      <c r="AA43" s="1179" t="s">
        <v>1131</v>
      </c>
      <c r="AB43" s="1181" t="s">
        <v>1134</v>
      </c>
    </row>
    <row r="44" spans="1:28" ht="39.75" customHeight="1" x14ac:dyDescent="0.2">
      <c r="A44" s="8" t="s">
        <v>221</v>
      </c>
      <c r="B44" s="1836"/>
      <c r="C44" s="1097"/>
      <c r="D44" s="802" t="s">
        <v>245</v>
      </c>
      <c r="E44" s="808"/>
      <c r="F44" s="374"/>
      <c r="G44" s="374"/>
      <c r="H44" s="374"/>
      <c r="I44" s="374"/>
      <c r="J44" s="809"/>
      <c r="K44" s="1154"/>
      <c r="L44" s="1154"/>
      <c r="M44" s="1154"/>
      <c r="N44" s="1154"/>
      <c r="O44" s="1154"/>
      <c r="P44" s="1154"/>
      <c r="Q44" s="808"/>
      <c r="R44" s="374"/>
      <c r="S44" s="374"/>
      <c r="T44" s="374"/>
      <c r="U44" s="374"/>
      <c r="V44" s="820"/>
      <c r="W44" s="1182" t="s">
        <v>1135</v>
      </c>
      <c r="X44" s="1179" t="s">
        <v>1138</v>
      </c>
      <c r="Y44" s="1179" t="s">
        <v>1141</v>
      </c>
      <c r="Z44" s="1180" t="s">
        <v>1144</v>
      </c>
      <c r="AA44" s="1180" t="s">
        <v>1147</v>
      </c>
      <c r="AB44" s="1187" t="s">
        <v>1150</v>
      </c>
    </row>
    <row r="45" spans="1:28" ht="39.75" customHeight="1" x14ac:dyDescent="0.2">
      <c r="A45" s="8" t="s">
        <v>221</v>
      </c>
      <c r="B45" s="1836"/>
      <c r="C45" s="1097"/>
      <c r="D45" s="804" t="s">
        <v>236</v>
      </c>
      <c r="E45" s="808"/>
      <c r="F45" s="374"/>
      <c r="G45" s="374"/>
      <c r="H45" s="374"/>
      <c r="I45" s="374"/>
      <c r="J45" s="809"/>
      <c r="K45" s="1154"/>
      <c r="L45" s="1154"/>
      <c r="M45" s="1154"/>
      <c r="N45" s="1154"/>
      <c r="O45" s="1154"/>
      <c r="P45" s="1154"/>
      <c r="Q45" s="808"/>
      <c r="R45" s="374"/>
      <c r="S45" s="374"/>
      <c r="T45" s="374"/>
      <c r="U45" s="374"/>
      <c r="V45" s="820"/>
      <c r="W45" s="1184" t="s">
        <v>1136</v>
      </c>
      <c r="X45" s="1185" t="s">
        <v>1139</v>
      </c>
      <c r="Y45" s="1185" t="s">
        <v>1142</v>
      </c>
      <c r="Z45" s="1186" t="s">
        <v>1145</v>
      </c>
      <c r="AA45" s="1186" t="s">
        <v>1148</v>
      </c>
      <c r="AB45" s="1188" t="s">
        <v>1151</v>
      </c>
    </row>
    <row r="46" spans="1:28" ht="29.25" customHeight="1" thickBot="1" x14ac:dyDescent="0.25">
      <c r="A46" s="8" t="s">
        <v>221</v>
      </c>
      <c r="B46" s="1836"/>
      <c r="C46" s="1097"/>
      <c r="D46" s="802" t="s">
        <v>242</v>
      </c>
      <c r="E46" s="810"/>
      <c r="F46" s="811"/>
      <c r="G46" s="811"/>
      <c r="H46" s="811"/>
      <c r="I46" s="811"/>
      <c r="J46" s="812"/>
      <c r="K46" s="1154"/>
      <c r="L46" s="1154"/>
      <c r="M46" s="1154"/>
      <c r="N46" s="1154"/>
      <c r="O46" s="1154"/>
      <c r="P46" s="1154"/>
      <c r="Q46" s="810"/>
      <c r="R46" s="811"/>
      <c r="S46" s="811"/>
      <c r="T46" s="811"/>
      <c r="U46" s="811"/>
      <c r="V46" s="821"/>
      <c r="W46" s="1184" t="s">
        <v>1137</v>
      </c>
      <c r="X46" s="1185" t="s">
        <v>1140</v>
      </c>
      <c r="Y46" s="1185" t="s">
        <v>1143</v>
      </c>
      <c r="Z46" s="1186" t="s">
        <v>1146</v>
      </c>
      <c r="AA46" s="1186" t="s">
        <v>1149</v>
      </c>
      <c r="AB46" s="1188" t="s">
        <v>1152</v>
      </c>
    </row>
    <row r="47" spans="1:28" ht="13.5" customHeight="1" thickBot="1" x14ac:dyDescent="0.25">
      <c r="A47" s="8" t="s">
        <v>221</v>
      </c>
      <c r="B47" s="1836"/>
      <c r="C47" s="1097"/>
      <c r="D47" s="888" t="s">
        <v>10</v>
      </c>
      <c r="E47" s="813" t="s">
        <v>415</v>
      </c>
      <c r="F47" s="813"/>
      <c r="G47" s="814"/>
      <c r="H47" s="814"/>
      <c r="I47" s="815"/>
      <c r="J47" s="815"/>
      <c r="K47" s="2455" t="s">
        <v>250</v>
      </c>
      <c r="L47" s="2456"/>
      <c r="M47" s="2456"/>
      <c r="N47" s="2456"/>
      <c r="O47" s="2456"/>
      <c r="P47" s="2457"/>
      <c r="Q47" s="818"/>
      <c r="R47" s="818"/>
      <c r="S47" s="818"/>
      <c r="T47" s="818"/>
      <c r="U47" s="818"/>
      <c r="V47" s="818"/>
      <c r="W47" s="889"/>
      <c r="X47" s="889"/>
      <c r="Y47" s="889"/>
      <c r="Z47" s="889"/>
      <c r="AA47" s="889"/>
      <c r="AB47" s="890"/>
    </row>
    <row r="48" spans="1:28" ht="13.5" customHeight="1" thickBot="1" x14ac:dyDescent="0.25">
      <c r="A48" s="8" t="s">
        <v>221</v>
      </c>
      <c r="B48" s="1836"/>
      <c r="C48" s="1097"/>
      <c r="D48" s="794" t="s">
        <v>177</v>
      </c>
      <c r="E48" s="785" t="s">
        <v>18</v>
      </c>
      <c r="F48" s="891" t="s">
        <v>17</v>
      </c>
      <c r="G48" s="891" t="s">
        <v>16</v>
      </c>
      <c r="H48" s="891" t="s">
        <v>15</v>
      </c>
      <c r="I48" s="891" t="s">
        <v>14</v>
      </c>
      <c r="J48" s="892" t="s">
        <v>13</v>
      </c>
      <c r="K48" s="893" t="s">
        <v>18</v>
      </c>
      <c r="L48" s="891" t="s">
        <v>17</v>
      </c>
      <c r="M48" s="894" t="s">
        <v>16</v>
      </c>
      <c r="N48" s="891" t="s">
        <v>15</v>
      </c>
      <c r="O48" s="891" t="s">
        <v>14</v>
      </c>
      <c r="P48" s="892" t="s">
        <v>13</v>
      </c>
      <c r="Q48" s="2032"/>
      <c r="R48" s="2033"/>
      <c r="S48" s="2033"/>
      <c r="T48" s="2033"/>
      <c r="U48" s="2033"/>
      <c r="V48" s="2033"/>
      <c r="W48" s="719" t="s">
        <v>18</v>
      </c>
      <c r="X48" s="377" t="s">
        <v>17</v>
      </c>
      <c r="Y48" s="377" t="s">
        <v>16</v>
      </c>
      <c r="Z48" s="377" t="s">
        <v>15</v>
      </c>
      <c r="AA48" s="377" t="s">
        <v>14</v>
      </c>
      <c r="AB48" s="378" t="s">
        <v>13</v>
      </c>
    </row>
    <row r="49" spans="1:28" ht="27" customHeight="1" x14ac:dyDescent="0.2">
      <c r="A49" s="8" t="s">
        <v>221</v>
      </c>
      <c r="B49" s="1836"/>
      <c r="C49" s="1097"/>
      <c r="D49" s="375" t="s">
        <v>233</v>
      </c>
      <c r="E49" s="839"/>
      <c r="F49" s="839"/>
      <c r="G49" s="839"/>
      <c r="H49" s="839"/>
      <c r="I49" s="839"/>
      <c r="J49" s="839"/>
      <c r="K49" s="1189" t="s">
        <v>1154</v>
      </c>
      <c r="L49" s="1194" t="s">
        <v>1161</v>
      </c>
      <c r="M49" s="1194" t="s">
        <v>1162</v>
      </c>
      <c r="N49" s="1198" t="s">
        <v>1172</v>
      </c>
      <c r="O49" s="1198" t="s">
        <v>1178</v>
      </c>
      <c r="P49" s="1202" t="s">
        <v>1187</v>
      </c>
      <c r="Q49" s="374"/>
      <c r="R49" s="374"/>
      <c r="S49" s="374"/>
      <c r="T49" s="374"/>
      <c r="U49" s="374"/>
      <c r="V49" s="374"/>
      <c r="W49" s="1802" t="s">
        <v>1577</v>
      </c>
      <c r="X49" s="1802" t="s">
        <v>1578</v>
      </c>
      <c r="Y49" s="1802" t="s">
        <v>1579</v>
      </c>
      <c r="Z49" s="1802" t="s">
        <v>1580</v>
      </c>
      <c r="AA49" s="1802" t="s">
        <v>1581</v>
      </c>
      <c r="AB49" s="1803" t="s">
        <v>1582</v>
      </c>
    </row>
    <row r="50" spans="1:28" ht="26.25" customHeight="1" x14ac:dyDescent="0.2">
      <c r="A50" s="8" t="s">
        <v>221</v>
      </c>
      <c r="B50" s="1836"/>
      <c r="C50" s="1097"/>
      <c r="D50" s="375" t="s">
        <v>234</v>
      </c>
      <c r="E50" s="839"/>
      <c r="F50" s="839"/>
      <c r="G50" s="839"/>
      <c r="H50" s="839"/>
      <c r="I50" s="839"/>
      <c r="J50" s="839"/>
      <c r="K50" s="1190" t="s">
        <v>1153</v>
      </c>
      <c r="L50" s="1195" t="s">
        <v>1162</v>
      </c>
      <c r="M50" s="1195" t="s">
        <v>240</v>
      </c>
      <c r="N50" s="1199" t="s">
        <v>1173</v>
      </c>
      <c r="O50" s="1199" t="s">
        <v>1179</v>
      </c>
      <c r="P50" s="1203" t="s">
        <v>1211</v>
      </c>
      <c r="Q50" s="374"/>
      <c r="R50" s="374"/>
      <c r="S50" s="374"/>
      <c r="T50" s="374"/>
      <c r="U50" s="374"/>
      <c r="V50" s="374"/>
      <c r="W50" s="1802" t="s">
        <v>1583</v>
      </c>
      <c r="X50" s="1802" t="s">
        <v>1584</v>
      </c>
      <c r="Y50" s="1802" t="s">
        <v>1585</v>
      </c>
      <c r="Z50" s="1802" t="s">
        <v>1586</v>
      </c>
      <c r="AA50" s="1802" t="s">
        <v>1587</v>
      </c>
      <c r="AB50" s="1803" t="s">
        <v>1588</v>
      </c>
    </row>
    <row r="51" spans="1:28" ht="23.25" customHeight="1" x14ac:dyDescent="0.2">
      <c r="A51" s="8" t="s">
        <v>221</v>
      </c>
      <c r="B51" s="1836"/>
      <c r="C51" s="1097"/>
      <c r="D51" s="375" t="s">
        <v>232</v>
      </c>
      <c r="E51" s="839"/>
      <c r="F51" s="839"/>
      <c r="G51" s="839"/>
      <c r="H51" s="839"/>
      <c r="I51" s="839"/>
      <c r="J51" s="839"/>
      <c r="K51" s="1191" t="s">
        <v>1196</v>
      </c>
      <c r="L51" s="1196" t="s">
        <v>1163</v>
      </c>
      <c r="M51" s="1196" t="s">
        <v>1201</v>
      </c>
      <c r="N51" s="1206" t="s">
        <v>1216</v>
      </c>
      <c r="O51" s="1200" t="s">
        <v>1208</v>
      </c>
      <c r="P51" s="1204" t="s">
        <v>1212</v>
      </c>
      <c r="Q51" s="374"/>
      <c r="R51" s="374"/>
      <c r="S51" s="374"/>
      <c r="T51" s="374"/>
      <c r="U51" s="374"/>
      <c r="V51" s="374"/>
      <c r="W51" s="1802" t="s">
        <v>1589</v>
      </c>
      <c r="X51" s="1802" t="s">
        <v>1578</v>
      </c>
      <c r="Y51" s="1802" t="s">
        <v>1590</v>
      </c>
      <c r="Z51" s="1802" t="s">
        <v>1591</v>
      </c>
      <c r="AA51" s="1802" t="s">
        <v>1592</v>
      </c>
      <c r="AB51" s="1803" t="s">
        <v>1593</v>
      </c>
    </row>
    <row r="52" spans="1:28" ht="25.5" customHeight="1" x14ac:dyDescent="0.2">
      <c r="A52" s="8" t="s">
        <v>221</v>
      </c>
      <c r="B52" s="1836"/>
      <c r="C52" s="1097"/>
      <c r="D52" s="375" t="s">
        <v>235</v>
      </c>
      <c r="E52" s="839"/>
      <c r="F52" s="839"/>
      <c r="G52" s="839"/>
      <c r="H52" s="839"/>
      <c r="I52" s="839"/>
      <c r="J52" s="839"/>
      <c r="K52" s="1192" t="s">
        <v>1155</v>
      </c>
      <c r="L52" s="1195" t="s">
        <v>1162</v>
      </c>
      <c r="M52" s="1195" t="s">
        <v>1166</v>
      </c>
      <c r="N52" s="1199" t="s">
        <v>1172</v>
      </c>
      <c r="O52" s="1199" t="s">
        <v>1180</v>
      </c>
      <c r="P52" s="1203" t="s">
        <v>1188</v>
      </c>
      <c r="Q52" s="374"/>
      <c r="R52" s="374"/>
      <c r="S52" s="374"/>
      <c r="T52" s="374"/>
      <c r="U52" s="374"/>
      <c r="V52" s="374"/>
      <c r="W52" s="1802" t="s">
        <v>1594</v>
      </c>
      <c r="X52" s="1802" t="s">
        <v>1595</v>
      </c>
      <c r="Y52" s="1802" t="s">
        <v>1596</v>
      </c>
      <c r="Z52" s="1802" t="s">
        <v>1597</v>
      </c>
      <c r="AA52" s="1802" t="s">
        <v>1598</v>
      </c>
      <c r="AB52" s="1803" t="s">
        <v>1599</v>
      </c>
    </row>
    <row r="53" spans="1:28" ht="25.5" customHeight="1" x14ac:dyDescent="0.2">
      <c r="A53" s="8" t="s">
        <v>221</v>
      </c>
      <c r="B53" s="1836"/>
      <c r="C53" s="1097"/>
      <c r="D53" s="375" t="s">
        <v>236</v>
      </c>
      <c r="E53" s="839"/>
      <c r="F53" s="839"/>
      <c r="G53" s="839"/>
      <c r="H53" s="839"/>
      <c r="I53" s="839"/>
      <c r="J53" s="839"/>
      <c r="K53" s="1192" t="s">
        <v>1156</v>
      </c>
      <c r="L53" s="1195" t="s">
        <v>1162</v>
      </c>
      <c r="M53" s="1195" t="s">
        <v>1167</v>
      </c>
      <c r="N53" s="1199" t="s">
        <v>1173</v>
      </c>
      <c r="O53" s="1199" t="s">
        <v>1181</v>
      </c>
      <c r="P53" s="1203" t="s">
        <v>1189</v>
      </c>
      <c r="Q53" s="374"/>
      <c r="R53" s="374"/>
      <c r="S53" s="374"/>
      <c r="T53" s="374"/>
      <c r="U53" s="374"/>
      <c r="V53" s="374"/>
      <c r="W53" s="1802" t="s">
        <v>1600</v>
      </c>
      <c r="X53" s="1802" t="s">
        <v>1601</v>
      </c>
      <c r="Y53" s="1802" t="s">
        <v>1602</v>
      </c>
      <c r="Z53" s="1802" t="s">
        <v>1603</v>
      </c>
      <c r="AA53" s="1802" t="s">
        <v>1604</v>
      </c>
      <c r="AB53" s="1803" t="s">
        <v>1605</v>
      </c>
    </row>
    <row r="54" spans="1:28" ht="27.75" customHeight="1" x14ac:dyDescent="0.2">
      <c r="A54" s="8" t="s">
        <v>221</v>
      </c>
      <c r="B54" s="1836"/>
      <c r="C54" s="1097"/>
      <c r="D54" s="375" t="s">
        <v>238</v>
      </c>
      <c r="E54" s="839"/>
      <c r="F54" s="839"/>
      <c r="G54" s="839"/>
      <c r="H54" s="839"/>
      <c r="I54" s="839"/>
      <c r="J54" s="839"/>
      <c r="K54" s="1190" t="s">
        <v>1197</v>
      </c>
      <c r="L54" s="1195" t="s">
        <v>1162</v>
      </c>
      <c r="M54" s="1195" t="s">
        <v>1202</v>
      </c>
      <c r="N54" s="1199" t="s">
        <v>1205</v>
      </c>
      <c r="O54" s="1199" t="s">
        <v>1209</v>
      </c>
      <c r="P54" s="1203" t="s">
        <v>1213</v>
      </c>
      <c r="Q54" s="374"/>
      <c r="R54" s="374"/>
      <c r="S54" s="374"/>
      <c r="T54" s="374"/>
      <c r="U54" s="374"/>
      <c r="V54" s="374"/>
      <c r="W54" s="1802" t="s">
        <v>1606</v>
      </c>
      <c r="X54" s="1802" t="s">
        <v>1607</v>
      </c>
      <c r="Y54" s="1802" t="s">
        <v>1608</v>
      </c>
      <c r="Z54" s="1802" t="s">
        <v>1609</v>
      </c>
      <c r="AA54" s="1802" t="s">
        <v>1610</v>
      </c>
      <c r="AB54" s="1803" t="s">
        <v>1611</v>
      </c>
    </row>
    <row r="55" spans="1:28" ht="15.75" customHeight="1" x14ac:dyDescent="0.2">
      <c r="A55" s="8" t="s">
        <v>221</v>
      </c>
      <c r="B55" s="1836"/>
      <c r="C55" s="1097"/>
      <c r="D55" s="795" t="s">
        <v>178</v>
      </c>
      <c r="E55" s="839"/>
      <c r="F55" s="839"/>
      <c r="G55" s="839"/>
      <c r="H55" s="839"/>
      <c r="I55" s="839"/>
      <c r="J55" s="839"/>
      <c r="K55" s="390"/>
      <c r="L55" s="373"/>
      <c r="M55" s="372"/>
      <c r="N55" s="373"/>
      <c r="O55" s="373"/>
      <c r="P55" s="799"/>
      <c r="Q55" s="374"/>
      <c r="R55" s="374"/>
      <c r="S55" s="374"/>
      <c r="T55" s="374"/>
      <c r="U55" s="374"/>
      <c r="V55" s="374"/>
      <c r="W55" s="1804"/>
      <c r="X55" s="1804"/>
      <c r="Y55" s="1804"/>
      <c r="Z55" s="1804"/>
      <c r="AA55" s="1804"/>
      <c r="AB55" s="1805"/>
    </row>
    <row r="56" spans="1:28" ht="23.25" customHeight="1" x14ac:dyDescent="0.2">
      <c r="A56" s="8" t="s">
        <v>221</v>
      </c>
      <c r="B56" s="1836"/>
      <c r="C56" s="1097"/>
      <c r="D56" s="375" t="s">
        <v>233</v>
      </c>
      <c r="E56" s="839"/>
      <c r="F56" s="839"/>
      <c r="G56" s="839"/>
      <c r="H56" s="839"/>
      <c r="I56" s="839"/>
      <c r="J56" s="839"/>
      <c r="K56" s="1192" t="s">
        <v>1157</v>
      </c>
      <c r="L56" s="1195" t="s">
        <v>1162</v>
      </c>
      <c r="M56" s="1195" t="s">
        <v>1168</v>
      </c>
      <c r="N56" s="1199" t="s">
        <v>1174</v>
      </c>
      <c r="O56" s="1199" t="s">
        <v>1182</v>
      </c>
      <c r="P56" s="1203" t="s">
        <v>1190</v>
      </c>
      <c r="Q56" s="374"/>
      <c r="R56" s="374"/>
      <c r="S56" s="374"/>
      <c r="T56" s="374"/>
      <c r="U56" s="374"/>
      <c r="V56" s="374"/>
      <c r="W56" s="1806" t="s">
        <v>1612</v>
      </c>
      <c r="X56" s="1806" t="s">
        <v>1613</v>
      </c>
      <c r="Y56" s="1806" t="s">
        <v>1614</v>
      </c>
      <c r="Z56" s="1806" t="s">
        <v>1615</v>
      </c>
      <c r="AA56" s="1806" t="s">
        <v>1616</v>
      </c>
      <c r="AB56" s="1807" t="s">
        <v>1617</v>
      </c>
    </row>
    <row r="57" spans="1:28" ht="25.5" customHeight="1" x14ac:dyDescent="0.2">
      <c r="A57" s="8" t="s">
        <v>221</v>
      </c>
      <c r="B57" s="1836"/>
      <c r="C57" s="1097"/>
      <c r="D57" s="375" t="s">
        <v>237</v>
      </c>
      <c r="E57" s="839"/>
      <c r="F57" s="839"/>
      <c r="G57" s="839"/>
      <c r="H57" s="839"/>
      <c r="I57" s="839"/>
      <c r="J57" s="839"/>
      <c r="K57" s="1192" t="s">
        <v>1158</v>
      </c>
      <c r="L57" s="1195" t="s">
        <v>1162</v>
      </c>
      <c r="M57" s="1195" t="s">
        <v>1169</v>
      </c>
      <c r="N57" s="1199" t="s">
        <v>1175</v>
      </c>
      <c r="O57" s="1199" t="s">
        <v>1183</v>
      </c>
      <c r="P57" s="1203" t="s">
        <v>1191</v>
      </c>
      <c r="Q57" s="374"/>
      <c r="R57" s="374"/>
      <c r="S57" s="374"/>
      <c r="T57" s="374"/>
      <c r="U57" s="374"/>
      <c r="V57" s="374"/>
      <c r="W57" s="1806" t="s">
        <v>1618</v>
      </c>
      <c r="X57" s="1806" t="s">
        <v>1584</v>
      </c>
      <c r="Y57" s="1806" t="s">
        <v>1619</v>
      </c>
      <c r="Z57" s="1806" t="s">
        <v>1620</v>
      </c>
      <c r="AA57" s="1806" t="s">
        <v>1621</v>
      </c>
      <c r="AB57" s="1807" t="s">
        <v>1622</v>
      </c>
    </row>
    <row r="58" spans="1:28" ht="27" customHeight="1" x14ac:dyDescent="0.2">
      <c r="A58" s="8" t="s">
        <v>221</v>
      </c>
      <c r="B58" s="1836"/>
      <c r="C58" s="1097"/>
      <c r="D58" s="375" t="s">
        <v>232</v>
      </c>
      <c r="E58" s="839"/>
      <c r="F58" s="839"/>
      <c r="G58" s="839"/>
      <c r="H58" s="839"/>
      <c r="I58" s="839"/>
      <c r="J58" s="839"/>
      <c r="K58" s="1192" t="s">
        <v>1198</v>
      </c>
      <c r="L58" s="1195" t="s">
        <v>1162</v>
      </c>
      <c r="M58" s="1195" t="s">
        <v>1203</v>
      </c>
      <c r="N58" s="1199" t="s">
        <v>1206</v>
      </c>
      <c r="O58" s="1199" t="s">
        <v>1184</v>
      </c>
      <c r="P58" s="1203" t="s">
        <v>1214</v>
      </c>
      <c r="Q58" s="374"/>
      <c r="R58" s="374"/>
      <c r="S58" s="374"/>
      <c r="T58" s="374"/>
      <c r="U58" s="374"/>
      <c r="V58" s="374"/>
      <c r="W58" s="1806" t="s">
        <v>1623</v>
      </c>
      <c r="X58" s="1806" t="s">
        <v>1624</v>
      </c>
      <c r="Y58" s="1806" t="s">
        <v>1625</v>
      </c>
      <c r="Z58" s="1806" t="s">
        <v>1626</v>
      </c>
      <c r="AA58" s="1806" t="s">
        <v>1627</v>
      </c>
      <c r="AB58" s="1807" t="s">
        <v>1628</v>
      </c>
    </row>
    <row r="59" spans="1:28" ht="24" customHeight="1" x14ac:dyDescent="0.2">
      <c r="A59" s="8" t="s">
        <v>221</v>
      </c>
      <c r="B59" s="1836"/>
      <c r="C59" s="1097"/>
      <c r="D59" s="796" t="s">
        <v>235</v>
      </c>
      <c r="E59" s="839"/>
      <c r="F59" s="839"/>
      <c r="G59" s="839"/>
      <c r="H59" s="839"/>
      <c r="I59" s="839"/>
      <c r="J59" s="839"/>
      <c r="K59" s="1190" t="s">
        <v>1159</v>
      </c>
      <c r="L59" s="1195" t="s">
        <v>1164</v>
      </c>
      <c r="M59" s="1195" t="s">
        <v>1170</v>
      </c>
      <c r="N59" s="1199" t="s">
        <v>1176</v>
      </c>
      <c r="O59" s="1199" t="s">
        <v>1185</v>
      </c>
      <c r="P59" s="1203" t="s">
        <v>1192</v>
      </c>
      <c r="Q59" s="374"/>
      <c r="R59" s="374"/>
      <c r="S59" s="374"/>
      <c r="T59" s="374"/>
      <c r="U59" s="374"/>
      <c r="V59" s="374"/>
      <c r="W59" s="1806" t="s">
        <v>1629</v>
      </c>
      <c r="X59" s="1806" t="s">
        <v>1630</v>
      </c>
      <c r="Y59" s="1806" t="s">
        <v>1631</v>
      </c>
      <c r="Z59" s="1806" t="s">
        <v>1632</v>
      </c>
      <c r="AA59" s="1806" t="s">
        <v>1633</v>
      </c>
      <c r="AB59" s="1807" t="s">
        <v>1634</v>
      </c>
    </row>
    <row r="60" spans="1:28" ht="28.5" customHeight="1" x14ac:dyDescent="0.2">
      <c r="A60" s="8" t="s">
        <v>221</v>
      </c>
      <c r="B60" s="1836"/>
      <c r="C60" s="1097"/>
      <c r="D60" s="796" t="s">
        <v>236</v>
      </c>
      <c r="E60" s="839"/>
      <c r="F60" s="839"/>
      <c r="G60" s="839"/>
      <c r="H60" s="839"/>
      <c r="I60" s="839"/>
      <c r="J60" s="839"/>
      <c r="K60" s="1190" t="s">
        <v>1160</v>
      </c>
      <c r="L60" s="1195" t="s">
        <v>1165</v>
      </c>
      <c r="M60" s="1195" t="s">
        <v>1171</v>
      </c>
      <c r="N60" s="1199" t="s">
        <v>1177</v>
      </c>
      <c r="O60" s="1199" t="s">
        <v>1186</v>
      </c>
      <c r="P60" s="1203" t="s">
        <v>1193</v>
      </c>
      <c r="Q60" s="374"/>
      <c r="R60" s="374"/>
      <c r="S60" s="374"/>
      <c r="T60" s="374"/>
      <c r="U60" s="374"/>
      <c r="V60" s="374"/>
      <c r="W60" s="1806" t="s">
        <v>1635</v>
      </c>
      <c r="X60" s="1806" t="s">
        <v>1636</v>
      </c>
      <c r="Y60" s="1806" t="s">
        <v>1637</v>
      </c>
      <c r="Z60" s="1806" t="s">
        <v>1638</v>
      </c>
      <c r="AA60" s="1806" t="s">
        <v>1639</v>
      </c>
      <c r="AB60" s="1807" t="s">
        <v>1640</v>
      </c>
    </row>
    <row r="61" spans="1:28" ht="24" customHeight="1" thickBot="1" x14ac:dyDescent="0.25">
      <c r="A61" s="8" t="s">
        <v>221</v>
      </c>
      <c r="B61" s="1836"/>
      <c r="C61" s="1097"/>
      <c r="D61" s="797" t="s">
        <v>238</v>
      </c>
      <c r="E61" s="839"/>
      <c r="F61" s="839"/>
      <c r="G61" s="839"/>
      <c r="H61" s="839"/>
      <c r="I61" s="839"/>
      <c r="J61" s="839"/>
      <c r="K61" s="1193" t="s">
        <v>1199</v>
      </c>
      <c r="L61" s="1197" t="s">
        <v>1200</v>
      </c>
      <c r="M61" s="1197" t="s">
        <v>1204</v>
      </c>
      <c r="N61" s="1201" t="s">
        <v>1207</v>
      </c>
      <c r="O61" s="1201" t="s">
        <v>1210</v>
      </c>
      <c r="P61" s="1205" t="s">
        <v>1215</v>
      </c>
      <c r="Q61" s="374"/>
      <c r="R61" s="374"/>
      <c r="S61" s="374"/>
      <c r="T61" s="374"/>
      <c r="U61" s="374"/>
      <c r="V61" s="374"/>
      <c r="W61" s="1808" t="s">
        <v>1641</v>
      </c>
      <c r="X61" s="1808" t="s">
        <v>1642</v>
      </c>
      <c r="Y61" s="1808" t="s">
        <v>1643</v>
      </c>
      <c r="Z61" s="1808" t="s">
        <v>1644</v>
      </c>
      <c r="AA61" s="1808" t="s">
        <v>1645</v>
      </c>
      <c r="AB61" s="1809" t="s">
        <v>1646</v>
      </c>
    </row>
    <row r="62" spans="1:28" ht="13.5" thickBot="1" x14ac:dyDescent="0.25">
      <c r="A62" s="8" t="s">
        <v>220</v>
      </c>
      <c r="B62" s="1836"/>
      <c r="C62" s="1097"/>
      <c r="D62" s="793"/>
      <c r="E62" s="2032" t="s">
        <v>7</v>
      </c>
      <c r="F62" s="2033"/>
      <c r="G62" s="2033"/>
      <c r="H62" s="2033"/>
      <c r="I62" s="2033"/>
      <c r="J62" s="2033"/>
      <c r="K62" s="2033"/>
      <c r="L62" s="2033"/>
      <c r="M62" s="2033"/>
      <c r="N62" s="2033"/>
      <c r="O62" s="2033"/>
      <c r="P62" s="2033"/>
      <c r="Q62" s="2033"/>
      <c r="R62" s="2033"/>
      <c r="S62" s="2033"/>
      <c r="T62" s="2033"/>
      <c r="U62" s="2033"/>
      <c r="V62" s="2033"/>
      <c r="W62" s="2033"/>
      <c r="X62" s="2033"/>
      <c r="Y62" s="2033"/>
      <c r="Z62" s="2033"/>
      <c r="AA62" s="2033"/>
      <c r="AB62" s="2034"/>
    </row>
    <row r="63" spans="1:28" ht="13.5" thickBot="1" x14ac:dyDescent="0.25">
      <c r="A63" s="8" t="s">
        <v>220</v>
      </c>
      <c r="B63" s="1836"/>
      <c r="C63" s="1098"/>
      <c r="D63" s="762"/>
      <c r="E63" s="1954" t="s">
        <v>803</v>
      </c>
      <c r="F63" s="1955"/>
      <c r="G63" s="1955"/>
      <c r="H63" s="1955"/>
      <c r="I63" s="1955"/>
      <c r="J63" s="1955"/>
      <c r="K63" s="1955"/>
      <c r="L63" s="1955"/>
      <c r="M63" s="1955"/>
      <c r="N63" s="1955"/>
      <c r="O63" s="1955"/>
      <c r="P63" s="1955"/>
      <c r="Q63" s="1955"/>
      <c r="R63" s="1955"/>
      <c r="S63" s="1955"/>
      <c r="T63" s="1955"/>
      <c r="U63" s="1955"/>
      <c r="V63" s="1955"/>
      <c r="W63" s="1955"/>
      <c r="X63" s="1955"/>
      <c r="Y63" s="1955"/>
      <c r="Z63" s="1955"/>
      <c r="AA63" s="1955"/>
      <c r="AB63" s="1957"/>
    </row>
    <row r="64" spans="1:28" ht="15" customHeight="1" thickBot="1" x14ac:dyDescent="0.25">
      <c r="A64" s="8" t="s">
        <v>220</v>
      </c>
      <c r="B64" s="1106"/>
      <c r="C64" s="480" t="s">
        <v>46</v>
      </c>
      <c r="D64" s="475"/>
      <c r="E64" s="1878" t="s">
        <v>416</v>
      </c>
      <c r="F64" s="1883"/>
      <c r="G64" s="1883"/>
      <c r="H64" s="1883"/>
      <c r="I64" s="1883"/>
      <c r="J64" s="1884"/>
      <c r="K64" s="1878" t="s">
        <v>327</v>
      </c>
      <c r="L64" s="1879"/>
      <c r="M64" s="1879"/>
      <c r="N64" s="1879"/>
      <c r="O64" s="1879"/>
      <c r="P64" s="1880"/>
      <c r="Q64" s="2159" t="s">
        <v>163</v>
      </c>
      <c r="R64" s="2160"/>
      <c r="S64" s="2160"/>
      <c r="T64" s="2160"/>
      <c r="U64" s="2160"/>
      <c r="V64" s="2160"/>
      <c r="W64" s="2260"/>
      <c r="X64" s="2261"/>
      <c r="Y64" s="2261"/>
      <c r="Z64" s="2261"/>
      <c r="AA64" s="2261"/>
      <c r="AB64" s="2262"/>
    </row>
    <row r="65" spans="1:28" ht="25.5" x14ac:dyDescent="0.2">
      <c r="A65" s="8" t="s">
        <v>220</v>
      </c>
      <c r="B65" s="379"/>
      <c r="C65" s="1837" t="s">
        <v>975</v>
      </c>
      <c r="D65" s="2234" t="s">
        <v>12</v>
      </c>
      <c r="E65" s="895" t="s">
        <v>174</v>
      </c>
      <c r="F65" s="572"/>
      <c r="G65" s="572" t="s">
        <v>417</v>
      </c>
      <c r="H65" s="380"/>
      <c r="I65" s="380"/>
      <c r="J65" s="381"/>
      <c r="K65" s="2154"/>
      <c r="L65" s="1860"/>
      <c r="M65" s="1860"/>
      <c r="N65" s="380"/>
      <c r="O65" s="380"/>
      <c r="P65" s="380"/>
      <c r="Q65" s="1999" t="s">
        <v>871</v>
      </c>
      <c r="R65" s="1928"/>
      <c r="S65" s="562" t="s">
        <v>49</v>
      </c>
      <c r="T65" s="562" t="s">
        <v>48</v>
      </c>
      <c r="U65" s="562" t="s">
        <v>47</v>
      </c>
      <c r="V65" s="563" t="s">
        <v>869</v>
      </c>
      <c r="W65" s="1860"/>
      <c r="X65" s="1860"/>
      <c r="Y65" s="1860"/>
      <c r="Z65" s="896"/>
      <c r="AA65" s="896"/>
      <c r="AB65" s="897"/>
    </row>
    <row r="66" spans="1:28" ht="26.25" customHeight="1" thickBot="1" x14ac:dyDescent="0.25">
      <c r="A66" s="8" t="s">
        <v>220</v>
      </c>
      <c r="B66" s="379"/>
      <c r="C66" s="1838"/>
      <c r="D66" s="2235"/>
      <c r="E66" s="382" t="s">
        <v>90</v>
      </c>
      <c r="F66" s="383"/>
      <c r="G66" s="383" t="s">
        <v>418</v>
      </c>
      <c r="H66" s="383"/>
      <c r="I66" s="383"/>
      <c r="J66" s="384"/>
      <c r="K66" s="2022"/>
      <c r="L66" s="1862"/>
      <c r="M66" s="1862"/>
      <c r="N66" s="1130"/>
      <c r="O66" s="1131"/>
      <c r="P66" s="1131"/>
      <c r="Q66" s="1998" t="s">
        <v>92</v>
      </c>
      <c r="R66" s="1849"/>
      <c r="S66" s="385">
        <v>0.66</v>
      </c>
      <c r="T66" s="385">
        <v>0.68</v>
      </c>
      <c r="U66" s="385">
        <v>0.63</v>
      </c>
      <c r="V66" s="564">
        <v>0.38</v>
      </c>
      <c r="W66" s="1862"/>
      <c r="X66" s="1862"/>
      <c r="Y66" s="1862"/>
      <c r="Z66" s="1131"/>
      <c r="AA66" s="1131"/>
      <c r="AB66" s="1132"/>
    </row>
    <row r="67" spans="1:28" ht="27" customHeight="1" x14ac:dyDescent="0.2">
      <c r="A67" s="8" t="s">
        <v>220</v>
      </c>
      <c r="B67" s="379"/>
      <c r="C67" s="1838"/>
      <c r="D67" s="2272" t="s">
        <v>10</v>
      </c>
      <c r="E67" s="553" t="s">
        <v>174</v>
      </c>
      <c r="F67" s="514"/>
      <c r="G67" s="556" t="s">
        <v>49</v>
      </c>
      <c r="H67" s="556" t="s">
        <v>48</v>
      </c>
      <c r="I67" s="556" t="s">
        <v>47</v>
      </c>
      <c r="J67" s="557" t="s">
        <v>869</v>
      </c>
      <c r="K67" s="1860"/>
      <c r="L67" s="1860"/>
      <c r="M67" s="1860"/>
      <c r="N67" s="896"/>
      <c r="O67" s="896"/>
      <c r="P67" s="896"/>
      <c r="Q67" s="763" t="s">
        <v>870</v>
      </c>
      <c r="R67" s="562"/>
      <c r="S67" s="562" t="s">
        <v>49</v>
      </c>
      <c r="T67" s="562" t="s">
        <v>48</v>
      </c>
      <c r="U67" s="562" t="s">
        <v>47</v>
      </c>
      <c r="V67" s="563" t="s">
        <v>869</v>
      </c>
      <c r="W67" s="1860"/>
      <c r="X67" s="1860"/>
      <c r="Y67" s="1860"/>
      <c r="Z67" s="896"/>
      <c r="AA67" s="896"/>
      <c r="AB67" s="897"/>
    </row>
    <row r="68" spans="1:28" ht="24.75" customHeight="1" thickBot="1" x14ac:dyDescent="0.25">
      <c r="A68" s="8" t="s">
        <v>220</v>
      </c>
      <c r="B68" s="379"/>
      <c r="C68" s="1838"/>
      <c r="D68" s="2273"/>
      <c r="E68" s="554" t="s">
        <v>90</v>
      </c>
      <c r="F68" s="558"/>
      <c r="G68" s="559">
        <v>0.61</v>
      </c>
      <c r="H68" s="560">
        <v>0.63500000000000001</v>
      </c>
      <c r="I68" s="560">
        <v>0.58399999999999996</v>
      </c>
      <c r="J68" s="561">
        <v>30</v>
      </c>
      <c r="K68" s="1862"/>
      <c r="L68" s="1862"/>
      <c r="M68" s="1862"/>
      <c r="N68" s="386"/>
      <c r="O68" s="383"/>
      <c r="P68" s="383"/>
      <c r="Q68" s="1299" t="s">
        <v>91</v>
      </c>
      <c r="R68" s="1300"/>
      <c r="S68" s="385">
        <v>0.67</v>
      </c>
      <c r="T68" s="385">
        <v>0.68</v>
      </c>
      <c r="U68" s="385">
        <v>0.65</v>
      </c>
      <c r="V68" s="564">
        <v>0.34</v>
      </c>
      <c r="W68" s="1862"/>
      <c r="X68" s="1862"/>
      <c r="Y68" s="1862"/>
      <c r="Z68" s="1118"/>
      <c r="AA68" s="1118"/>
      <c r="AB68" s="1123"/>
    </row>
    <row r="69" spans="1:28" ht="12.75" customHeight="1" thickBot="1" x14ac:dyDescent="0.25">
      <c r="A69" s="8" t="s">
        <v>221</v>
      </c>
      <c r="B69" s="379"/>
      <c r="C69" s="1838"/>
      <c r="D69" s="786" t="s">
        <v>12</v>
      </c>
      <c r="E69" s="785" t="s">
        <v>18</v>
      </c>
      <c r="F69" s="891" t="s">
        <v>17</v>
      </c>
      <c r="G69" s="891" t="s">
        <v>16</v>
      </c>
      <c r="H69" s="891" t="s">
        <v>15</v>
      </c>
      <c r="I69" s="891" t="s">
        <v>14</v>
      </c>
      <c r="J69" s="898" t="s">
        <v>13</v>
      </c>
      <c r="K69" s="899"/>
      <c r="L69" s="900"/>
      <c r="M69" s="901"/>
      <c r="N69" s="900"/>
      <c r="O69" s="902"/>
      <c r="P69" s="903"/>
      <c r="Q69" s="893" t="s">
        <v>18</v>
      </c>
      <c r="R69" s="891" t="s">
        <v>17</v>
      </c>
      <c r="S69" s="894" t="s">
        <v>16</v>
      </c>
      <c r="T69" s="891" t="s">
        <v>15</v>
      </c>
      <c r="U69" s="898" t="s">
        <v>14</v>
      </c>
      <c r="V69" s="904" t="s">
        <v>13</v>
      </c>
      <c r="W69" s="899"/>
      <c r="X69" s="900"/>
      <c r="Y69" s="900"/>
      <c r="Z69" s="900"/>
      <c r="AA69" s="900"/>
      <c r="AB69" s="905"/>
    </row>
    <row r="70" spans="1:28" ht="12.75" customHeight="1" x14ac:dyDescent="0.2">
      <c r="A70" s="8" t="s">
        <v>221</v>
      </c>
      <c r="B70" s="379"/>
      <c r="C70" s="2271"/>
      <c r="D70" s="788" t="s">
        <v>179</v>
      </c>
      <c r="E70" s="387"/>
      <c r="F70" s="387"/>
      <c r="G70" s="387"/>
      <c r="H70" s="387"/>
      <c r="I70" s="387"/>
      <c r="J70" s="387"/>
      <c r="K70" s="2257"/>
      <c r="L70" s="2258"/>
      <c r="M70" s="2258"/>
      <c r="N70" s="2258"/>
      <c r="O70" s="2258"/>
      <c r="P70" s="2259"/>
      <c r="Q70" s="383"/>
      <c r="R70" s="383"/>
      <c r="S70" s="383"/>
      <c r="T70" s="383"/>
      <c r="U70" s="383"/>
      <c r="V70" s="383"/>
      <c r="W70" s="1133"/>
      <c r="X70" s="387"/>
      <c r="Y70" s="387"/>
      <c r="Z70" s="387"/>
      <c r="AA70" s="387"/>
      <c r="AB70" s="1134"/>
    </row>
    <row r="71" spans="1:28" ht="12.75" customHeight="1" x14ac:dyDescent="0.2">
      <c r="A71" s="8" t="s">
        <v>221</v>
      </c>
      <c r="B71" s="379"/>
      <c r="C71" s="2271"/>
      <c r="D71" s="705" t="s">
        <v>69</v>
      </c>
      <c r="E71" s="684"/>
      <c r="F71" s="684"/>
      <c r="G71" s="684"/>
      <c r="H71" s="744"/>
      <c r="I71" s="744"/>
      <c r="J71" s="744"/>
      <c r="K71" s="2257"/>
      <c r="L71" s="2258"/>
      <c r="M71" s="2258"/>
      <c r="N71" s="2258"/>
      <c r="O71" s="2258"/>
      <c r="P71" s="2259"/>
      <c r="Q71" s="1135"/>
      <c r="R71" s="1135"/>
      <c r="S71" s="1136"/>
      <c r="T71" s="1137"/>
      <c r="U71" s="1137"/>
      <c r="V71" s="1137"/>
      <c r="W71" s="1120"/>
      <c r="X71" s="1118"/>
      <c r="Y71" s="1118"/>
      <c r="Z71" s="383"/>
      <c r="AA71" s="383"/>
      <c r="AB71" s="384"/>
    </row>
    <row r="72" spans="1:28" ht="12.75" customHeight="1" x14ac:dyDescent="0.2">
      <c r="A72" s="8" t="s">
        <v>221</v>
      </c>
      <c r="B72" s="379"/>
      <c r="C72" s="2271"/>
      <c r="D72" s="705" t="s">
        <v>70</v>
      </c>
      <c r="E72" s="684"/>
      <c r="F72" s="684"/>
      <c r="G72" s="684"/>
      <c r="H72" s="744"/>
      <c r="I72" s="744"/>
      <c r="J72" s="744"/>
      <c r="K72" s="2257"/>
      <c r="L72" s="2258"/>
      <c r="M72" s="2258"/>
      <c r="N72" s="2258"/>
      <c r="O72" s="2258"/>
      <c r="P72" s="2259"/>
      <c r="Q72" s="1135"/>
      <c r="R72" s="1135"/>
      <c r="S72" s="1137"/>
      <c r="T72" s="1137"/>
      <c r="U72" s="1137"/>
      <c r="V72" s="1137"/>
      <c r="W72" s="1120"/>
      <c r="X72" s="1118"/>
      <c r="Y72" s="1118"/>
      <c r="Z72" s="383"/>
      <c r="AA72" s="383"/>
      <c r="AB72" s="384"/>
    </row>
    <row r="73" spans="1:28" ht="12.75" customHeight="1" thickBot="1" x14ac:dyDescent="0.25">
      <c r="A73" s="8" t="s">
        <v>221</v>
      </c>
      <c r="B73" s="379"/>
      <c r="C73" s="2271"/>
      <c r="D73" s="787" t="s">
        <v>49</v>
      </c>
      <c r="E73" s="2258" t="s">
        <v>423</v>
      </c>
      <c r="F73" s="2258"/>
      <c r="G73" s="2258"/>
      <c r="H73" s="2258"/>
      <c r="I73" s="2258"/>
      <c r="J73" s="2259"/>
      <c r="K73" s="2257"/>
      <c r="L73" s="2258"/>
      <c r="M73" s="2258"/>
      <c r="N73" s="2258"/>
      <c r="O73" s="2258"/>
      <c r="P73" s="2259"/>
      <c r="Q73" s="1117"/>
      <c r="R73" s="1118"/>
      <c r="S73" s="1118"/>
      <c r="T73" s="383"/>
      <c r="U73" s="383"/>
      <c r="V73" s="383"/>
      <c r="W73" s="1117"/>
      <c r="X73" s="1118"/>
      <c r="Y73" s="1118"/>
      <c r="Z73" s="383"/>
      <c r="AA73" s="383"/>
      <c r="AB73" s="384"/>
    </row>
    <row r="74" spans="1:28" ht="25.5" x14ac:dyDescent="0.2">
      <c r="A74" s="8" t="s">
        <v>221</v>
      </c>
      <c r="B74" s="379"/>
      <c r="C74" s="1838"/>
      <c r="D74" s="713" t="s">
        <v>869</v>
      </c>
      <c r="E74" s="2243" t="s">
        <v>423</v>
      </c>
      <c r="F74" s="2244"/>
      <c r="G74" s="2244"/>
      <c r="H74" s="2244"/>
      <c r="I74" s="2244"/>
      <c r="J74" s="2245"/>
      <c r="K74" s="1121"/>
      <c r="L74" s="1122"/>
      <c r="M74" s="1116"/>
      <c r="N74" s="572"/>
      <c r="O74" s="572"/>
      <c r="P74" s="572"/>
      <c r="Q74" s="1289"/>
      <c r="R74" s="1288"/>
      <c r="S74" s="1288"/>
      <c r="T74" s="572"/>
      <c r="U74" s="572"/>
      <c r="V74" s="572"/>
      <c r="W74" s="1121"/>
      <c r="X74" s="1122"/>
      <c r="Y74" s="1122"/>
      <c r="Z74" s="572"/>
      <c r="AA74" s="572"/>
      <c r="AB74" s="573"/>
    </row>
    <row r="75" spans="1:28" ht="12" customHeight="1" x14ac:dyDescent="0.2">
      <c r="A75" s="8" t="s">
        <v>221</v>
      </c>
      <c r="B75" s="379"/>
      <c r="C75" s="1838"/>
      <c r="D75" s="685" t="s">
        <v>69</v>
      </c>
      <c r="E75" s="2246"/>
      <c r="F75" s="2247"/>
      <c r="G75" s="2247"/>
      <c r="H75" s="2247"/>
      <c r="I75" s="2247"/>
      <c r="J75" s="2248"/>
      <c r="K75" s="1117"/>
      <c r="L75" s="1118"/>
      <c r="M75" s="1111"/>
      <c r="N75" s="383"/>
      <c r="O75" s="383"/>
      <c r="P75" s="383"/>
      <c r="Q75" s="1281"/>
      <c r="R75" s="1282"/>
      <c r="S75" s="1282"/>
      <c r="T75" s="383"/>
      <c r="U75" s="383"/>
      <c r="V75" s="383"/>
      <c r="W75" s="1117"/>
      <c r="X75" s="1118"/>
      <c r="Y75" s="1118"/>
      <c r="Z75" s="383"/>
      <c r="AA75" s="383"/>
      <c r="AB75" s="384"/>
    </row>
    <row r="76" spans="1:28" ht="12" customHeight="1" thickBot="1" x14ac:dyDescent="0.25">
      <c r="A76" s="8" t="s">
        <v>221</v>
      </c>
      <c r="B76" s="379"/>
      <c r="C76" s="1838"/>
      <c r="D76" s="685" t="s">
        <v>70</v>
      </c>
      <c r="E76" s="2249"/>
      <c r="F76" s="2250"/>
      <c r="G76" s="2250"/>
      <c r="H76" s="2250"/>
      <c r="I76" s="2250"/>
      <c r="J76" s="2251"/>
      <c r="K76" s="574"/>
      <c r="L76" s="1124"/>
      <c r="M76" s="1125"/>
      <c r="N76" s="566"/>
      <c r="O76" s="566"/>
      <c r="P76" s="566"/>
      <c r="Q76" s="574"/>
      <c r="R76" s="1290"/>
      <c r="S76" s="1290"/>
      <c r="T76" s="566"/>
      <c r="U76" s="566"/>
      <c r="V76" s="566"/>
      <c r="W76" s="574"/>
      <c r="X76" s="1124"/>
      <c r="Y76" s="1124"/>
      <c r="Z76" s="566"/>
      <c r="AA76" s="566"/>
      <c r="AB76" s="567"/>
    </row>
    <row r="77" spans="1:28" ht="12.75" customHeight="1" thickBot="1" x14ac:dyDescent="0.25">
      <c r="A77" s="8" t="s">
        <v>221</v>
      </c>
      <c r="B77" s="379"/>
      <c r="C77" s="2271"/>
      <c r="D77" s="791" t="s">
        <v>10</v>
      </c>
      <c r="E77" s="2451"/>
      <c r="F77" s="2451"/>
      <c r="G77" s="2451"/>
      <c r="H77" s="2451"/>
      <c r="I77" s="2451"/>
      <c r="J77" s="2451"/>
      <c r="K77" s="2033"/>
      <c r="L77" s="2033"/>
      <c r="M77" s="2033"/>
      <c r="N77" s="2033"/>
      <c r="O77" s="2033"/>
      <c r="P77" s="2033"/>
      <c r="Q77" s="2032"/>
      <c r="R77" s="2033"/>
      <c r="S77" s="2033"/>
      <c r="T77" s="2033"/>
      <c r="U77" s="2033"/>
      <c r="V77" s="2034"/>
      <c r="W77" s="2274"/>
      <c r="X77" s="2274"/>
      <c r="Y77" s="2274"/>
      <c r="Z77" s="2274"/>
      <c r="AA77" s="2274"/>
      <c r="AB77" s="2275"/>
    </row>
    <row r="78" spans="1:28" ht="12.75" customHeight="1" x14ac:dyDescent="0.2">
      <c r="A78" s="8" t="s">
        <v>221</v>
      </c>
      <c r="B78" s="379"/>
      <c r="C78" s="2271"/>
      <c r="D78" s="792" t="s">
        <v>179</v>
      </c>
      <c r="E78" s="789"/>
      <c r="F78" s="700"/>
      <c r="G78" s="700"/>
      <c r="H78" s="570"/>
      <c r="I78" s="570"/>
      <c r="J78" s="790"/>
      <c r="K78" s="684"/>
      <c r="L78" s="684"/>
      <c r="M78" s="744"/>
      <c r="N78" s="383"/>
      <c r="O78" s="383"/>
      <c r="P78" s="384"/>
      <c r="Q78" s="1471"/>
      <c r="R78" s="1468"/>
      <c r="S78" s="1468"/>
      <c r="T78" s="1469"/>
      <c r="U78" s="1469"/>
      <c r="V78" s="1470"/>
      <c r="W78" s="683"/>
      <c r="X78" s="684"/>
      <c r="Y78" s="684"/>
      <c r="Z78" s="383"/>
      <c r="AA78" s="383"/>
      <c r="AB78" s="384"/>
    </row>
    <row r="79" spans="1:28" ht="12.75" customHeight="1" x14ac:dyDescent="0.2">
      <c r="A79" s="8" t="s">
        <v>221</v>
      </c>
      <c r="B79" s="379"/>
      <c r="C79" s="2271"/>
      <c r="D79" s="685" t="s">
        <v>69</v>
      </c>
      <c r="E79" s="746">
        <v>0.74</v>
      </c>
      <c r="F79" s="747">
        <v>0.53</v>
      </c>
      <c r="G79" s="2264" t="s">
        <v>180</v>
      </c>
      <c r="H79" s="385">
        <v>0.63</v>
      </c>
      <c r="I79" s="385">
        <v>0.65</v>
      </c>
      <c r="J79" s="564">
        <v>0.84</v>
      </c>
      <c r="K79" s="684"/>
      <c r="L79" s="2258"/>
      <c r="M79" s="2258"/>
      <c r="N79" s="2258"/>
      <c r="O79" s="2258"/>
      <c r="P79" s="2259"/>
      <c r="Q79" s="1476">
        <v>0.86</v>
      </c>
      <c r="R79" s="385">
        <v>0.56000000000000005</v>
      </c>
      <c r="S79" s="385">
        <v>0.61</v>
      </c>
      <c r="T79" s="385">
        <v>0.66</v>
      </c>
      <c r="U79" s="385">
        <v>0.87</v>
      </c>
      <c r="V79" s="564">
        <v>0.86</v>
      </c>
      <c r="W79" s="683"/>
      <c r="X79" s="684"/>
      <c r="Y79" s="684"/>
      <c r="Z79" s="383"/>
      <c r="AA79" s="383"/>
      <c r="AB79" s="384"/>
    </row>
    <row r="80" spans="1:28" ht="12" customHeight="1" x14ac:dyDescent="0.2">
      <c r="A80" s="8" t="s">
        <v>221</v>
      </c>
      <c r="B80" s="379"/>
      <c r="C80" s="2271"/>
      <c r="D80" s="685" t="s">
        <v>70</v>
      </c>
      <c r="E80" s="746">
        <v>0.78</v>
      </c>
      <c r="F80" s="747">
        <v>0.46</v>
      </c>
      <c r="G80" s="2264"/>
      <c r="H80" s="385">
        <v>0.5</v>
      </c>
      <c r="I80" s="385">
        <v>0.69</v>
      </c>
      <c r="J80" s="564">
        <v>0.81</v>
      </c>
      <c r="K80" s="684"/>
      <c r="L80" s="684"/>
      <c r="M80" s="744"/>
      <c r="N80" s="383"/>
      <c r="O80" s="383"/>
      <c r="P80" s="384"/>
      <c r="Q80" s="1476">
        <v>0.83</v>
      </c>
      <c r="R80" s="385">
        <v>0.51</v>
      </c>
      <c r="S80" s="385">
        <v>0.6</v>
      </c>
      <c r="T80" s="385">
        <v>0.6</v>
      </c>
      <c r="U80" s="385">
        <v>0.85</v>
      </c>
      <c r="V80" s="564">
        <v>0.83</v>
      </c>
      <c r="W80" s="683"/>
      <c r="X80" s="684"/>
      <c r="Y80" s="684"/>
      <c r="Z80" s="383"/>
      <c r="AA80" s="383"/>
      <c r="AB80" s="384"/>
    </row>
    <row r="81" spans="1:28" ht="12.75" customHeight="1" thickBot="1" x14ac:dyDescent="0.25">
      <c r="A81" s="8" t="s">
        <v>221</v>
      </c>
      <c r="B81" s="379"/>
      <c r="C81" s="2271"/>
      <c r="D81" s="761" t="s">
        <v>49</v>
      </c>
      <c r="E81" s="1475">
        <v>0.76</v>
      </c>
      <c r="F81" s="1300"/>
      <c r="G81" s="1300"/>
      <c r="H81" s="1300"/>
      <c r="I81" s="1300"/>
      <c r="J81" s="1474"/>
      <c r="K81" s="684"/>
      <c r="L81" s="684"/>
      <c r="M81" s="744"/>
      <c r="N81" s="383"/>
      <c r="O81" s="383"/>
      <c r="P81" s="384"/>
      <c r="Q81" s="1477">
        <v>0.85</v>
      </c>
      <c r="R81" s="1478">
        <v>0.54</v>
      </c>
      <c r="S81" s="1478">
        <v>0.61</v>
      </c>
      <c r="T81" s="1478">
        <v>0.63</v>
      </c>
      <c r="U81" s="1478">
        <v>0.86</v>
      </c>
      <c r="V81" s="1479">
        <v>0.84</v>
      </c>
      <c r="W81" s="683"/>
      <c r="X81" s="684"/>
      <c r="Y81" s="684"/>
      <c r="Z81" s="383"/>
      <c r="AA81" s="383"/>
      <c r="AB81" s="384"/>
    </row>
    <row r="82" spans="1:28" ht="25.5" customHeight="1" x14ac:dyDescent="0.2">
      <c r="A82" s="8" t="s">
        <v>221</v>
      </c>
      <c r="B82" s="379"/>
      <c r="C82" s="2271"/>
      <c r="D82" s="713" t="s">
        <v>869</v>
      </c>
      <c r="E82" s="747"/>
      <c r="F82" s="747"/>
      <c r="G82" s="745"/>
      <c r="H82" s="385"/>
      <c r="I82" s="385"/>
      <c r="J82" s="385"/>
      <c r="K82" s="571"/>
      <c r="L82" s="714"/>
      <c r="M82" s="575"/>
      <c r="N82" s="572"/>
      <c r="O82" s="572"/>
      <c r="P82" s="572"/>
      <c r="Q82" s="385">
        <v>0.77</v>
      </c>
      <c r="R82" s="385">
        <v>0.41</v>
      </c>
      <c r="S82" s="385">
        <v>0.21</v>
      </c>
      <c r="T82" s="385">
        <v>0.39</v>
      </c>
      <c r="U82" s="385">
        <v>0</v>
      </c>
      <c r="V82" s="1480" t="s">
        <v>1434</v>
      </c>
      <c r="W82" s="571"/>
      <c r="X82" s="714"/>
      <c r="Y82" s="714"/>
      <c r="Z82" s="572"/>
      <c r="AA82" s="572"/>
      <c r="AB82" s="573"/>
    </row>
    <row r="83" spans="1:28" ht="12" customHeight="1" x14ac:dyDescent="0.2">
      <c r="A83" s="8" t="s">
        <v>221</v>
      </c>
      <c r="B83" s="379"/>
      <c r="C83" s="2271"/>
      <c r="D83" s="685" t="s">
        <v>69</v>
      </c>
      <c r="E83" s="747">
        <v>0.28999999999999998</v>
      </c>
      <c r="F83" s="747">
        <v>0.38</v>
      </c>
      <c r="G83" s="2264" t="s">
        <v>180</v>
      </c>
      <c r="H83" s="385">
        <v>0.48</v>
      </c>
      <c r="I83" s="385">
        <v>0.24</v>
      </c>
      <c r="J83" s="385">
        <v>0.28999999999999998</v>
      </c>
      <c r="K83" s="683"/>
      <c r="L83" s="684"/>
      <c r="M83" s="744"/>
      <c r="N83" s="383"/>
      <c r="O83" s="383"/>
      <c r="P83" s="383"/>
      <c r="Q83" s="2205" t="s">
        <v>1432</v>
      </c>
      <c r="R83" s="2205"/>
      <c r="S83" s="2205"/>
      <c r="T83" s="2205"/>
      <c r="U83" s="2205"/>
      <c r="V83" s="2206"/>
      <c r="W83" s="683"/>
      <c r="X83" s="684"/>
      <c r="Y83" s="684"/>
      <c r="Z83" s="383"/>
      <c r="AA83" s="383"/>
      <c r="AB83" s="384"/>
    </row>
    <row r="84" spans="1:28" ht="13.5" thickBot="1" x14ac:dyDescent="0.25">
      <c r="A84" s="8" t="s">
        <v>221</v>
      </c>
      <c r="B84" s="379"/>
      <c r="C84" s="2271"/>
      <c r="D84" s="761" t="s">
        <v>70</v>
      </c>
      <c r="E84" s="568">
        <v>0.71</v>
      </c>
      <c r="F84" s="568">
        <v>0.3</v>
      </c>
      <c r="G84" s="1886"/>
      <c r="H84" s="559">
        <v>0.31</v>
      </c>
      <c r="I84" s="559">
        <v>0.32</v>
      </c>
      <c r="J84" s="559">
        <v>0.28999999999999998</v>
      </c>
      <c r="K84" s="574"/>
      <c r="L84" s="565"/>
      <c r="M84" s="576"/>
      <c r="N84" s="566"/>
      <c r="O84" s="566"/>
      <c r="P84" s="566"/>
      <c r="Q84" s="2207"/>
      <c r="R84" s="2207"/>
      <c r="S84" s="2207"/>
      <c r="T84" s="2207"/>
      <c r="U84" s="2207"/>
      <c r="V84" s="2208"/>
      <c r="W84" s="574"/>
      <c r="X84" s="565"/>
      <c r="Y84" s="565"/>
      <c r="Z84" s="566"/>
      <c r="AA84" s="566"/>
      <c r="AB84" s="567"/>
    </row>
    <row r="85" spans="1:28" ht="12.75" customHeight="1" thickBot="1" x14ac:dyDescent="0.25">
      <c r="A85" s="8" t="s">
        <v>220</v>
      </c>
      <c r="B85" s="379"/>
      <c r="C85" s="1838"/>
      <c r="D85" s="569"/>
      <c r="E85" s="2173" t="s">
        <v>43</v>
      </c>
      <c r="F85" s="2173"/>
      <c r="G85" s="2173"/>
      <c r="H85" s="2173"/>
      <c r="I85" s="2173"/>
      <c r="J85" s="2173"/>
      <c r="K85" s="2173"/>
      <c r="L85" s="2173"/>
      <c r="M85" s="2173"/>
      <c r="N85" s="2173"/>
      <c r="O85" s="2173"/>
      <c r="P85" s="2173"/>
      <c r="Q85" s="2173"/>
      <c r="R85" s="2173"/>
      <c r="S85" s="2173"/>
      <c r="T85" s="2173"/>
      <c r="U85" s="2173"/>
      <c r="V85" s="2173"/>
      <c r="W85" s="2173"/>
      <c r="X85" s="2173"/>
      <c r="Y85" s="2173"/>
      <c r="Z85" s="2173"/>
      <c r="AA85" s="2173"/>
      <c r="AB85" s="2174"/>
    </row>
    <row r="86" spans="1:28" ht="12.75" customHeight="1" thickBot="1" x14ac:dyDescent="0.25">
      <c r="A86" s="8" t="s">
        <v>220</v>
      </c>
      <c r="B86" s="379"/>
      <c r="C86" s="1839"/>
      <c r="D86" s="569"/>
      <c r="E86" s="1955" t="s">
        <v>974</v>
      </c>
      <c r="F86" s="1955"/>
      <c r="G86" s="1955"/>
      <c r="H86" s="1955"/>
      <c r="I86" s="1955"/>
      <c r="J86" s="1955"/>
      <c r="K86" s="1955"/>
      <c r="L86" s="1955"/>
      <c r="M86" s="1955"/>
      <c r="N86" s="1955"/>
      <c r="O86" s="1955"/>
      <c r="P86" s="1955"/>
      <c r="Q86" s="1955"/>
      <c r="R86" s="1955"/>
      <c r="S86" s="1955"/>
      <c r="T86" s="1955"/>
      <c r="U86" s="1955"/>
      <c r="V86" s="1955"/>
      <c r="W86" s="1955"/>
      <c r="X86" s="1955"/>
      <c r="Y86" s="1955"/>
      <c r="Z86" s="1955"/>
      <c r="AA86" s="1955"/>
      <c r="AB86" s="1957"/>
    </row>
    <row r="87" spans="1:28" ht="18" customHeight="1" thickBot="1" x14ac:dyDescent="0.25">
      <c r="A87" s="8" t="s">
        <v>220</v>
      </c>
      <c r="B87" s="391"/>
      <c r="C87" s="859" t="s">
        <v>45</v>
      </c>
      <c r="D87" s="859"/>
      <c r="E87" s="1878" t="s">
        <v>218</v>
      </c>
      <c r="F87" s="1883"/>
      <c r="G87" s="1883"/>
      <c r="H87" s="1883"/>
      <c r="I87" s="1883"/>
      <c r="J87" s="1884"/>
      <c r="K87" s="1878" t="s">
        <v>327</v>
      </c>
      <c r="L87" s="1879"/>
      <c r="M87" s="1879"/>
      <c r="N87" s="1879"/>
      <c r="O87" s="1879"/>
      <c r="P87" s="1880"/>
      <c r="Q87" s="1881" t="s">
        <v>163</v>
      </c>
      <c r="R87" s="1882"/>
      <c r="S87" s="1882"/>
      <c r="T87" s="1882"/>
      <c r="U87" s="1882"/>
      <c r="V87" s="1882"/>
      <c r="W87" s="1881" t="s">
        <v>162</v>
      </c>
      <c r="X87" s="1882"/>
      <c r="Y87" s="1882"/>
      <c r="Z87" s="1882"/>
      <c r="AA87" s="1882"/>
      <c r="AB87" s="1947"/>
    </row>
    <row r="88" spans="1:28" ht="12.95" customHeight="1" x14ac:dyDescent="0.2">
      <c r="A88" s="8" t="s">
        <v>220</v>
      </c>
      <c r="B88" s="379"/>
      <c r="C88" s="2057" t="s">
        <v>830</v>
      </c>
      <c r="D88" s="2234" t="s">
        <v>12</v>
      </c>
      <c r="E88" s="2255" t="s">
        <v>44</v>
      </c>
      <c r="F88" s="2256"/>
      <c r="G88" s="2256"/>
      <c r="H88" s="1978">
        <v>51</v>
      </c>
      <c r="I88" s="1978"/>
      <c r="J88" s="1979"/>
      <c r="K88" s="754"/>
      <c r="L88" s="755"/>
      <c r="M88" s="698"/>
      <c r="N88" s="1978">
        <v>55</v>
      </c>
      <c r="O88" s="1978"/>
      <c r="P88" s="1979"/>
      <c r="Q88" s="2255"/>
      <c r="R88" s="2256"/>
      <c r="S88" s="2256"/>
      <c r="T88" s="1978">
        <v>58</v>
      </c>
      <c r="U88" s="1978"/>
      <c r="V88" s="1979"/>
      <c r="W88" s="2255"/>
      <c r="X88" s="2256"/>
      <c r="Y88" s="2256"/>
      <c r="Z88" s="1978">
        <v>60</v>
      </c>
      <c r="AA88" s="1978"/>
      <c r="AB88" s="1979"/>
    </row>
    <row r="89" spans="1:28" ht="12.95" customHeight="1" x14ac:dyDescent="0.2">
      <c r="A89" s="8" t="s">
        <v>220</v>
      </c>
      <c r="B89" s="379"/>
      <c r="C89" s="1925"/>
      <c r="D89" s="2235"/>
      <c r="E89" s="2452" t="s">
        <v>160</v>
      </c>
      <c r="F89" s="2453"/>
      <c r="G89" s="2453"/>
      <c r="H89" s="392" t="s">
        <v>68</v>
      </c>
      <c r="I89" s="392" t="s">
        <v>48</v>
      </c>
      <c r="J89" s="393" t="s">
        <v>47</v>
      </c>
      <c r="K89" s="2157"/>
      <c r="L89" s="2158"/>
      <c r="M89" s="2158"/>
      <c r="N89" s="364" t="s">
        <v>68</v>
      </c>
      <c r="O89" s="364" t="s">
        <v>48</v>
      </c>
      <c r="P89" s="365" t="s">
        <v>47</v>
      </c>
      <c r="Q89" s="2157"/>
      <c r="R89" s="2158"/>
      <c r="S89" s="2158"/>
      <c r="T89" s="364" t="s">
        <v>68</v>
      </c>
      <c r="U89" s="364" t="s">
        <v>48</v>
      </c>
      <c r="V89" s="365" t="s">
        <v>47</v>
      </c>
      <c r="W89" s="2157"/>
      <c r="X89" s="2158"/>
      <c r="Y89" s="2158"/>
      <c r="Z89" s="364" t="s">
        <v>68</v>
      </c>
      <c r="AA89" s="364" t="s">
        <v>48</v>
      </c>
      <c r="AB89" s="365" t="s">
        <v>47</v>
      </c>
    </row>
    <row r="90" spans="1:28" ht="15" customHeight="1" thickBot="1" x14ac:dyDescent="0.25">
      <c r="A90" s="8" t="s">
        <v>220</v>
      </c>
      <c r="B90" s="379"/>
      <c r="C90" s="1925"/>
      <c r="D90" s="2268"/>
      <c r="E90" s="2269" t="s">
        <v>95</v>
      </c>
      <c r="F90" s="2270"/>
      <c r="G90" s="2270"/>
      <c r="H90" s="1866" t="s">
        <v>430</v>
      </c>
      <c r="I90" s="1866"/>
      <c r="J90" s="2454"/>
      <c r="K90" s="2254"/>
      <c r="L90" s="1886"/>
      <c r="M90" s="1886"/>
      <c r="N90" s="849">
        <v>752603</v>
      </c>
      <c r="O90" s="849">
        <v>396931</v>
      </c>
      <c r="P90" s="906">
        <v>355672</v>
      </c>
      <c r="Q90" s="2254"/>
      <c r="R90" s="1886"/>
      <c r="S90" s="1886"/>
      <c r="T90" s="1337">
        <v>828814</v>
      </c>
      <c r="U90" s="1337">
        <v>436671</v>
      </c>
      <c r="V90" s="1338">
        <v>392143</v>
      </c>
      <c r="W90" s="2254"/>
      <c r="X90" s="1886"/>
      <c r="Y90" s="1886"/>
      <c r="Z90" s="1501">
        <v>885130</v>
      </c>
      <c r="AA90" s="1501">
        <v>460754</v>
      </c>
      <c r="AB90" s="1502">
        <v>424376</v>
      </c>
    </row>
    <row r="91" spans="1:28" ht="12.95" customHeight="1" x14ac:dyDescent="0.2">
      <c r="A91" s="8" t="s">
        <v>220</v>
      </c>
      <c r="B91" s="379"/>
      <c r="C91" s="1925" t="s">
        <v>158</v>
      </c>
      <c r="D91" s="2234" t="s">
        <v>10</v>
      </c>
      <c r="E91" s="2157" t="s">
        <v>44</v>
      </c>
      <c r="F91" s="2158"/>
      <c r="G91" s="2158"/>
      <c r="H91" s="1978">
        <v>48</v>
      </c>
      <c r="I91" s="1978"/>
      <c r="J91" s="1979"/>
      <c r="K91" s="754"/>
      <c r="L91" s="755"/>
      <c r="M91" s="698"/>
      <c r="N91" s="755"/>
      <c r="O91" s="1375">
        <v>0.76</v>
      </c>
      <c r="P91" s="756"/>
      <c r="Q91" s="2255"/>
      <c r="R91" s="2256"/>
      <c r="S91" s="2256"/>
      <c r="T91" s="2240">
        <v>0.73</v>
      </c>
      <c r="U91" s="2241"/>
      <c r="V91" s="2242"/>
      <c r="W91" s="2255"/>
      <c r="X91" s="2256"/>
      <c r="Y91" s="2256"/>
      <c r="Z91" s="2238">
        <v>79</v>
      </c>
      <c r="AA91" s="2238"/>
      <c r="AB91" s="2239"/>
    </row>
    <row r="92" spans="1:28" ht="12.95" customHeight="1" x14ac:dyDescent="0.2">
      <c r="A92" s="8" t="s">
        <v>220</v>
      </c>
      <c r="B92" s="379"/>
      <c r="C92" s="1925"/>
      <c r="D92" s="2235"/>
      <c r="E92" s="2157" t="s">
        <v>160</v>
      </c>
      <c r="F92" s="2158"/>
      <c r="G92" s="2158"/>
      <c r="H92" s="364" t="s">
        <v>68</v>
      </c>
      <c r="I92" s="364" t="s">
        <v>48</v>
      </c>
      <c r="J92" s="365" t="s">
        <v>47</v>
      </c>
      <c r="K92" s="2157"/>
      <c r="L92" s="2158"/>
      <c r="M92" s="2158"/>
      <c r="N92" s="364" t="s">
        <v>68</v>
      </c>
      <c r="O92" s="364" t="s">
        <v>48</v>
      </c>
      <c r="P92" s="365" t="s">
        <v>47</v>
      </c>
      <c r="Q92" s="2157"/>
      <c r="R92" s="2158"/>
      <c r="S92" s="2158"/>
      <c r="T92" s="364" t="s">
        <v>68</v>
      </c>
      <c r="U92" s="364" t="s">
        <v>48</v>
      </c>
      <c r="V92" s="365" t="s">
        <v>47</v>
      </c>
      <c r="W92" s="2157"/>
      <c r="X92" s="2158"/>
      <c r="Y92" s="2158"/>
      <c r="Z92" s="1504" t="s">
        <v>68</v>
      </c>
      <c r="AA92" s="1504" t="s">
        <v>48</v>
      </c>
      <c r="AB92" s="1505" t="s">
        <v>47</v>
      </c>
    </row>
    <row r="93" spans="1:28" ht="15" customHeight="1" thickBot="1" x14ac:dyDescent="0.25">
      <c r="A93" s="8" t="s">
        <v>220</v>
      </c>
      <c r="B93" s="379"/>
      <c r="C93" s="1838"/>
      <c r="D93" s="2235"/>
      <c r="E93" s="2254"/>
      <c r="F93" s="1886"/>
      <c r="G93" s="1886"/>
      <c r="H93" s="907">
        <v>520543</v>
      </c>
      <c r="I93" s="907">
        <v>275888</v>
      </c>
      <c r="J93" s="908">
        <v>244655</v>
      </c>
      <c r="K93" s="2254"/>
      <c r="L93" s="1886"/>
      <c r="M93" s="1886"/>
      <c r="N93" s="849">
        <v>609122</v>
      </c>
      <c r="O93" s="849">
        <v>322315</v>
      </c>
      <c r="P93" s="906">
        <v>286807</v>
      </c>
      <c r="Q93" s="2254"/>
      <c r="R93" s="1886"/>
      <c r="S93" s="1886"/>
      <c r="T93" s="1346">
        <f>SUM(U93:V93)</f>
        <v>447258</v>
      </c>
      <c r="U93" s="1346">
        <v>238892</v>
      </c>
      <c r="V93" s="1347">
        <v>208366</v>
      </c>
      <c r="W93" s="2254"/>
      <c r="X93" s="1886"/>
      <c r="Y93" s="1886"/>
      <c r="Z93" s="1506">
        <f>AA93+AB93</f>
        <v>515138</v>
      </c>
      <c r="AA93" s="1506">
        <v>270151</v>
      </c>
      <c r="AB93" s="1507">
        <v>244987</v>
      </c>
    </row>
    <row r="94" spans="1:28" ht="13.5" thickBot="1" x14ac:dyDescent="0.25">
      <c r="A94" s="8" t="s">
        <v>220</v>
      </c>
      <c r="B94" s="379"/>
      <c r="C94" s="1838"/>
      <c r="D94" s="793"/>
      <c r="E94" s="2032" t="s">
        <v>43</v>
      </c>
      <c r="F94" s="2033"/>
      <c r="G94" s="2033"/>
      <c r="H94" s="2033"/>
      <c r="I94" s="2033"/>
      <c r="J94" s="2033"/>
      <c r="K94" s="2033"/>
      <c r="L94" s="2033"/>
      <c r="M94" s="2033"/>
      <c r="N94" s="2033"/>
      <c r="O94" s="2033"/>
      <c r="P94" s="2033"/>
      <c r="Q94" s="2033"/>
      <c r="R94" s="2033"/>
      <c r="S94" s="2033"/>
      <c r="T94" s="2033"/>
      <c r="U94" s="2033"/>
      <c r="V94" s="2033"/>
      <c r="W94" s="2033"/>
      <c r="X94" s="2033"/>
      <c r="Y94" s="2033"/>
      <c r="Z94" s="2033"/>
      <c r="AA94" s="2033"/>
      <c r="AB94" s="2034"/>
    </row>
    <row r="95" spans="1:28" ht="12.95" customHeight="1" thickBot="1" x14ac:dyDescent="0.25">
      <c r="A95" s="8" t="s">
        <v>220</v>
      </c>
      <c r="B95" s="379"/>
      <c r="C95" s="909"/>
      <c r="D95" s="910"/>
      <c r="E95" s="1954" t="s">
        <v>42</v>
      </c>
      <c r="F95" s="1955"/>
      <c r="G95" s="1955"/>
      <c r="H95" s="1955"/>
      <c r="I95" s="1955"/>
      <c r="J95" s="1955"/>
      <c r="K95" s="1955"/>
      <c r="L95" s="1955"/>
      <c r="M95" s="1955"/>
      <c r="N95" s="1955"/>
      <c r="O95" s="1955"/>
      <c r="P95" s="1955"/>
      <c r="Q95" s="1955"/>
      <c r="R95" s="1955"/>
      <c r="S95" s="1955"/>
      <c r="T95" s="1955"/>
      <c r="U95" s="1955"/>
      <c r="V95" s="1955"/>
      <c r="W95" s="1955"/>
      <c r="X95" s="1955"/>
      <c r="Y95" s="1955"/>
      <c r="Z95" s="1955"/>
      <c r="AA95" s="1955"/>
      <c r="AB95" s="1957"/>
    </row>
    <row r="96" spans="1:28" x14ac:dyDescent="0.2">
      <c r="A96" s="8" t="s">
        <v>220</v>
      </c>
      <c r="B96" s="1932"/>
      <c r="C96" s="1933"/>
      <c r="D96" s="1933"/>
      <c r="E96" s="1933"/>
      <c r="F96" s="1933"/>
      <c r="G96" s="1933"/>
      <c r="H96" s="1933"/>
      <c r="I96" s="1933"/>
      <c r="J96" s="1933"/>
      <c r="K96" s="1933"/>
      <c r="L96" s="1933"/>
      <c r="M96" s="1933"/>
      <c r="N96" s="1933"/>
      <c r="O96" s="1933"/>
      <c r="P96" s="1933"/>
      <c r="Q96" s="1933"/>
      <c r="R96" s="1933"/>
      <c r="S96" s="1933"/>
      <c r="T96" s="1933"/>
      <c r="U96" s="1933"/>
      <c r="V96" s="1933"/>
      <c r="W96" s="1933"/>
      <c r="X96" s="1933"/>
      <c r="Y96" s="1933"/>
      <c r="Z96" s="1933"/>
      <c r="AA96" s="1933"/>
      <c r="AB96" s="1934"/>
    </row>
    <row r="97" spans="1:28" ht="13.5" thickBot="1" x14ac:dyDescent="0.25">
      <c r="A97" s="8" t="s">
        <v>220</v>
      </c>
      <c r="B97" s="1935"/>
      <c r="C97" s="1936"/>
      <c r="D97" s="1936"/>
      <c r="E97" s="1936"/>
      <c r="F97" s="1936"/>
      <c r="G97" s="1936"/>
      <c r="H97" s="1936"/>
      <c r="I97" s="1936"/>
      <c r="J97" s="1936"/>
      <c r="K97" s="1936"/>
      <c r="L97" s="1936"/>
      <c r="M97" s="1936"/>
      <c r="N97" s="1936"/>
      <c r="O97" s="1936"/>
      <c r="P97" s="1936"/>
      <c r="Q97" s="1936"/>
      <c r="R97" s="1936"/>
      <c r="S97" s="1936"/>
      <c r="T97" s="1936"/>
      <c r="U97" s="1936"/>
      <c r="V97" s="1936"/>
      <c r="W97" s="1936"/>
      <c r="X97" s="1936"/>
      <c r="Y97" s="1936"/>
      <c r="Z97" s="1936"/>
      <c r="AA97" s="1936"/>
      <c r="AB97" s="1937"/>
    </row>
    <row r="98" spans="1:28" ht="12.95" customHeight="1" thickBot="1" x14ac:dyDescent="0.25">
      <c r="A98" s="8" t="s">
        <v>220</v>
      </c>
      <c r="B98" s="911" t="s">
        <v>41</v>
      </c>
      <c r="C98" s="475" t="s">
        <v>306</v>
      </c>
      <c r="D98" s="475"/>
      <c r="E98" s="1982" t="s">
        <v>218</v>
      </c>
      <c r="F98" s="1983"/>
      <c r="G98" s="1983"/>
      <c r="H98" s="1983"/>
      <c r="I98" s="1983"/>
      <c r="J98" s="1984"/>
      <c r="K98" s="1878" t="s">
        <v>327</v>
      </c>
      <c r="L98" s="1879"/>
      <c r="M98" s="1879"/>
      <c r="N98" s="1879"/>
      <c r="O98" s="1879"/>
      <c r="P98" s="1880"/>
      <c r="Q98" s="1881" t="s">
        <v>163</v>
      </c>
      <c r="R98" s="1882"/>
      <c r="S98" s="1882"/>
      <c r="T98" s="1882"/>
      <c r="U98" s="1882"/>
      <c r="V98" s="1882"/>
      <c r="W98" s="1881" t="s">
        <v>162</v>
      </c>
      <c r="X98" s="1882"/>
      <c r="Y98" s="1882"/>
      <c r="Z98" s="1882"/>
      <c r="AA98" s="1882"/>
      <c r="AB98" s="1947"/>
    </row>
    <row r="99" spans="1:28" ht="15" customHeight="1" x14ac:dyDescent="0.2">
      <c r="A99" s="8" t="s">
        <v>220</v>
      </c>
      <c r="B99" s="1837" t="s">
        <v>55</v>
      </c>
      <c r="C99" s="2266" t="s">
        <v>128</v>
      </c>
      <c r="D99" s="2227" t="s">
        <v>12</v>
      </c>
      <c r="E99" s="578" t="s">
        <v>98</v>
      </c>
      <c r="F99" s="579"/>
      <c r="G99" s="579"/>
      <c r="H99" s="579"/>
      <c r="I99" s="579"/>
      <c r="J99" s="580"/>
      <c r="K99" s="1927" t="s">
        <v>98</v>
      </c>
      <c r="L99" s="1927"/>
      <c r="M99" s="1927"/>
      <c r="N99" s="1927"/>
      <c r="O99" s="1927"/>
      <c r="P99" s="2215"/>
      <c r="Q99" s="2211" t="s">
        <v>98</v>
      </c>
      <c r="R99" s="2212"/>
      <c r="S99" s="2212"/>
      <c r="T99" s="2212"/>
      <c r="U99" s="2212"/>
      <c r="V99" s="2213"/>
      <c r="W99" s="2214"/>
      <c r="X99" s="1927"/>
      <c r="Y99" s="1927"/>
      <c r="Z99" s="1927"/>
      <c r="AA99" s="1927"/>
      <c r="AB99" s="2215"/>
    </row>
    <row r="100" spans="1:28" ht="15" customHeight="1" x14ac:dyDescent="0.2">
      <c r="A100" s="8" t="s">
        <v>220</v>
      </c>
      <c r="B100" s="1838"/>
      <c r="C100" s="2267"/>
      <c r="D100" s="2228"/>
      <c r="E100" s="2218" t="s">
        <v>422</v>
      </c>
      <c r="F100" s="2219"/>
      <c r="G100" s="2219"/>
      <c r="H100" s="581"/>
      <c r="I100" s="2179">
        <v>1450</v>
      </c>
      <c r="J100" s="2180"/>
      <c r="K100" s="1848" t="s">
        <v>420</v>
      </c>
      <c r="L100" s="1848"/>
      <c r="M100" s="1848"/>
      <c r="N100" s="1853" t="s">
        <v>816</v>
      </c>
      <c r="O100" s="1853"/>
      <c r="P100" s="1854"/>
      <c r="Q100" s="1994" t="s">
        <v>99</v>
      </c>
      <c r="R100" s="1995"/>
      <c r="S100" s="1995"/>
      <c r="T100" s="1996"/>
      <c r="U100" s="1996"/>
      <c r="V100" s="1997"/>
      <c r="W100" s="2023" t="s">
        <v>126</v>
      </c>
      <c r="X100" s="1848"/>
      <c r="Y100" s="1848"/>
      <c r="Z100" s="1853" t="s">
        <v>505</v>
      </c>
      <c r="AA100" s="1853"/>
      <c r="AB100" s="1854"/>
    </row>
    <row r="101" spans="1:28" ht="15" customHeight="1" thickBot="1" x14ac:dyDescent="0.25">
      <c r="A101" s="8" t="s">
        <v>220</v>
      </c>
      <c r="B101" s="1838"/>
      <c r="C101" s="2267"/>
      <c r="D101" s="2228"/>
      <c r="E101" s="2229"/>
      <c r="F101" s="2230"/>
      <c r="G101" s="2230"/>
      <c r="H101" s="2230"/>
      <c r="I101" s="2236"/>
      <c r="J101" s="2237"/>
      <c r="K101" s="1848" t="s">
        <v>421</v>
      </c>
      <c r="L101" s="1848"/>
      <c r="M101" s="1848"/>
      <c r="N101" s="1853" t="s">
        <v>239</v>
      </c>
      <c r="O101" s="1853"/>
      <c r="P101" s="1854"/>
      <c r="Q101" s="1994" t="s">
        <v>125</v>
      </c>
      <c r="R101" s="1995"/>
      <c r="S101" s="1995"/>
      <c r="T101" s="1996"/>
      <c r="U101" s="1996"/>
      <c r="V101" s="1997"/>
      <c r="W101" s="2023" t="s">
        <v>125</v>
      </c>
      <c r="X101" s="1848"/>
      <c r="Y101" s="1848"/>
      <c r="Z101" s="1853" t="s">
        <v>506</v>
      </c>
      <c r="AA101" s="1853"/>
      <c r="AB101" s="1854"/>
    </row>
    <row r="102" spans="1:28" ht="12.95" customHeight="1" x14ac:dyDescent="0.2">
      <c r="A102" s="8" t="s">
        <v>220</v>
      </c>
      <c r="B102" s="1838"/>
      <c r="C102" s="2267"/>
      <c r="D102" s="831" t="s">
        <v>10</v>
      </c>
      <c r="E102" s="2218" t="s">
        <v>98</v>
      </c>
      <c r="F102" s="2219"/>
      <c r="G102" s="2219"/>
      <c r="H102" s="2219"/>
      <c r="I102" s="2219"/>
      <c r="J102" s="2220"/>
      <c r="K102" s="2221" t="s">
        <v>98</v>
      </c>
      <c r="L102" s="2222"/>
      <c r="M102" s="2222"/>
      <c r="N102" s="2222"/>
      <c r="O102" s="2222"/>
      <c r="P102" s="2223"/>
      <c r="Q102" s="2224" t="s">
        <v>98</v>
      </c>
      <c r="R102" s="2225"/>
      <c r="S102" s="2225"/>
      <c r="T102" s="2225"/>
      <c r="U102" s="2225"/>
      <c r="V102" s="2226"/>
      <c r="W102" s="2221"/>
      <c r="X102" s="2222"/>
      <c r="Y102" s="2222"/>
      <c r="Z102" s="2222"/>
      <c r="AA102" s="2222"/>
      <c r="AB102" s="2223"/>
    </row>
    <row r="103" spans="1:28" ht="12.95" customHeight="1" x14ac:dyDescent="0.2">
      <c r="A103" s="8" t="s">
        <v>220</v>
      </c>
      <c r="B103" s="1838"/>
      <c r="C103" s="2267"/>
      <c r="D103" s="715"/>
      <c r="E103" s="2218" t="s">
        <v>96</v>
      </c>
      <c r="F103" s="2219"/>
      <c r="G103" s="2219"/>
      <c r="H103" s="2219"/>
      <c r="I103" s="2209">
        <v>447</v>
      </c>
      <c r="J103" s="2210"/>
      <c r="K103" s="2023" t="s">
        <v>99</v>
      </c>
      <c r="L103" s="1848"/>
      <c r="M103" s="1848"/>
      <c r="N103" s="1853" t="s">
        <v>281</v>
      </c>
      <c r="O103" s="1853"/>
      <c r="P103" s="1854"/>
      <c r="Q103" s="1994" t="s">
        <v>99</v>
      </c>
      <c r="R103" s="1995"/>
      <c r="S103" s="1995"/>
      <c r="T103" s="1996"/>
      <c r="U103" s="1996"/>
      <c r="V103" s="1997"/>
      <c r="W103" s="2023" t="s">
        <v>99</v>
      </c>
      <c r="X103" s="1848"/>
      <c r="Y103" s="1848"/>
      <c r="Z103" s="1993" t="s">
        <v>1647</v>
      </c>
      <c r="AA103" s="1853"/>
      <c r="AB103" s="1854"/>
    </row>
    <row r="104" spans="1:28" ht="15" customHeight="1" thickBot="1" x14ac:dyDescent="0.25">
      <c r="A104" s="8" t="s">
        <v>220</v>
      </c>
      <c r="B104" s="1838"/>
      <c r="C104" s="2267"/>
      <c r="D104" s="715"/>
      <c r="E104" s="2014" t="s">
        <v>97</v>
      </c>
      <c r="F104" s="2015"/>
      <c r="G104" s="2015"/>
      <c r="H104" s="2015"/>
      <c r="I104" s="2216">
        <v>0</v>
      </c>
      <c r="J104" s="2217"/>
      <c r="K104" s="2023" t="s">
        <v>124</v>
      </c>
      <c r="L104" s="1848"/>
      <c r="M104" s="1848"/>
      <c r="N104" s="1853" t="s">
        <v>282</v>
      </c>
      <c r="O104" s="1853"/>
      <c r="P104" s="1854"/>
      <c r="Q104" s="1994" t="s">
        <v>100</v>
      </c>
      <c r="R104" s="1995"/>
      <c r="S104" s="1995"/>
      <c r="T104" s="1996"/>
      <c r="U104" s="1996"/>
      <c r="V104" s="1997"/>
      <c r="W104" s="2023" t="s">
        <v>100</v>
      </c>
      <c r="X104" s="1848"/>
      <c r="Y104" s="1848"/>
      <c r="Z104" s="1993" t="s">
        <v>1648</v>
      </c>
      <c r="AA104" s="1853"/>
      <c r="AB104" s="1854"/>
    </row>
    <row r="105" spans="1:28" ht="15" customHeight="1" thickBot="1" x14ac:dyDescent="0.25">
      <c r="A105" s="8" t="s">
        <v>221</v>
      </c>
      <c r="B105" s="1838"/>
      <c r="C105" s="2267"/>
      <c r="D105" s="715"/>
      <c r="E105" s="720" t="s">
        <v>18</v>
      </c>
      <c r="F105" s="377" t="s">
        <v>17</v>
      </c>
      <c r="G105" s="377" t="s">
        <v>16</v>
      </c>
      <c r="H105" s="377" t="s">
        <v>15</v>
      </c>
      <c r="I105" s="377" t="s">
        <v>14</v>
      </c>
      <c r="J105" s="378" t="s">
        <v>13</v>
      </c>
      <c r="K105" s="719" t="s">
        <v>18</v>
      </c>
      <c r="L105" s="377" t="s">
        <v>17</v>
      </c>
      <c r="M105" s="822" t="s">
        <v>16</v>
      </c>
      <c r="N105" s="377" t="s">
        <v>15</v>
      </c>
      <c r="O105" s="377" t="s">
        <v>14</v>
      </c>
      <c r="P105" s="378" t="s">
        <v>13</v>
      </c>
      <c r="Q105" s="719" t="s">
        <v>18</v>
      </c>
      <c r="R105" s="377" t="s">
        <v>17</v>
      </c>
      <c r="S105" s="377" t="s">
        <v>16</v>
      </c>
      <c r="T105" s="377" t="s">
        <v>15</v>
      </c>
      <c r="U105" s="377" t="s">
        <v>14</v>
      </c>
      <c r="V105" s="378" t="s">
        <v>13</v>
      </c>
      <c r="W105" s="719" t="s">
        <v>18</v>
      </c>
      <c r="X105" s="377" t="s">
        <v>17</v>
      </c>
      <c r="Y105" s="377" t="s">
        <v>16</v>
      </c>
      <c r="Z105" s="377" t="s">
        <v>15</v>
      </c>
      <c r="AA105" s="377" t="s">
        <v>14</v>
      </c>
      <c r="AB105" s="378" t="s">
        <v>13</v>
      </c>
    </row>
    <row r="106" spans="1:28" ht="15" customHeight="1" x14ac:dyDescent="0.2">
      <c r="A106" s="8" t="s">
        <v>221</v>
      </c>
      <c r="B106" s="1838"/>
      <c r="C106" s="2267"/>
      <c r="D106" s="831" t="s">
        <v>12</v>
      </c>
      <c r="E106" s="914"/>
      <c r="F106" s="915"/>
      <c r="G106" s="915"/>
      <c r="H106" s="915"/>
      <c r="I106" s="916"/>
      <c r="J106" s="917"/>
      <c r="K106" s="918"/>
      <c r="L106" s="823"/>
      <c r="M106" s="846"/>
      <c r="N106" s="846"/>
      <c r="O106" s="846"/>
      <c r="P106" s="919"/>
      <c r="Q106" s="918"/>
      <c r="R106" s="823"/>
      <c r="S106" s="823"/>
      <c r="T106" s="846"/>
      <c r="U106" s="846"/>
      <c r="V106" s="919"/>
      <c r="W106" s="488"/>
      <c r="X106" s="488"/>
      <c r="Y106" s="488"/>
      <c r="Z106" s="920"/>
      <c r="AA106" s="920"/>
      <c r="AB106" s="921"/>
    </row>
    <row r="107" spans="1:28" x14ac:dyDescent="0.2">
      <c r="A107" s="8" t="s">
        <v>221</v>
      </c>
      <c r="B107" s="1838"/>
      <c r="C107" s="2267"/>
      <c r="D107" s="716" t="s">
        <v>181</v>
      </c>
      <c r="E107" s="2016" t="s">
        <v>431</v>
      </c>
      <c r="F107" s="2017"/>
      <c r="G107" s="2017"/>
      <c r="H107" s="2017"/>
      <c r="I107" s="2017"/>
      <c r="J107" s="2018"/>
      <c r="K107" s="707"/>
      <c r="L107" s="708"/>
      <c r="M107" s="1996" t="s">
        <v>419</v>
      </c>
      <c r="N107" s="1996"/>
      <c r="O107" s="1996"/>
      <c r="P107" s="710"/>
      <c r="Q107" s="707"/>
      <c r="R107" s="708"/>
      <c r="S107" s="708"/>
      <c r="T107" s="709"/>
      <c r="U107" s="709"/>
      <c r="V107" s="709"/>
      <c r="W107" s="389" t="s">
        <v>291</v>
      </c>
      <c r="X107" s="389" t="s">
        <v>293</v>
      </c>
      <c r="Y107" s="389" t="s">
        <v>295</v>
      </c>
      <c r="Z107" s="389" t="s">
        <v>298</v>
      </c>
      <c r="AA107" s="389" t="s">
        <v>299</v>
      </c>
      <c r="AB107" s="423" t="s">
        <v>301</v>
      </c>
    </row>
    <row r="108" spans="1:28" ht="15" customHeight="1" thickBot="1" x14ac:dyDescent="0.25">
      <c r="A108" s="8" t="s">
        <v>221</v>
      </c>
      <c r="B108" s="1838"/>
      <c r="C108" s="2267"/>
      <c r="D108" s="827" t="s">
        <v>100</v>
      </c>
      <c r="E108" s="703"/>
      <c r="F108" s="704"/>
      <c r="G108" s="704"/>
      <c r="H108" s="704"/>
      <c r="I108" s="922"/>
      <c r="J108" s="923"/>
      <c r="K108" s="924"/>
      <c r="L108" s="824"/>
      <c r="M108" s="847"/>
      <c r="N108" s="847"/>
      <c r="O108" s="847"/>
      <c r="P108" s="925"/>
      <c r="Q108" s="924"/>
      <c r="R108" s="824"/>
      <c r="S108" s="824"/>
      <c r="T108" s="847"/>
      <c r="U108" s="847"/>
      <c r="V108" s="847"/>
      <c r="W108" s="389" t="s">
        <v>292</v>
      </c>
      <c r="X108" s="389" t="s">
        <v>294</v>
      </c>
      <c r="Y108" s="389" t="s">
        <v>296</v>
      </c>
      <c r="Z108" s="389" t="s">
        <v>297</v>
      </c>
      <c r="AA108" s="389" t="s">
        <v>300</v>
      </c>
      <c r="AB108" s="423" t="s">
        <v>302</v>
      </c>
    </row>
    <row r="109" spans="1:28" ht="15" customHeight="1" x14ac:dyDescent="0.2">
      <c r="A109" s="8" t="s">
        <v>221</v>
      </c>
      <c r="B109" s="1838"/>
      <c r="C109" s="2267"/>
      <c r="D109" s="715" t="s">
        <v>10</v>
      </c>
      <c r="E109" s="1153"/>
      <c r="F109" s="1153"/>
      <c r="G109" s="1153"/>
      <c r="H109" s="1153"/>
      <c r="I109" s="395"/>
      <c r="J109" s="395" t="s">
        <v>216</v>
      </c>
      <c r="K109" s="926"/>
      <c r="L109" s="488"/>
      <c r="M109" s="920"/>
      <c r="N109" s="920"/>
      <c r="O109" s="920"/>
      <c r="P109" s="921"/>
      <c r="Q109" s="918"/>
      <c r="R109" s="823"/>
      <c r="S109" s="823"/>
      <c r="T109" s="846"/>
      <c r="U109" s="846"/>
      <c r="V109" s="919"/>
      <c r="W109" s="706"/>
      <c r="X109" s="706"/>
      <c r="Y109" s="706"/>
      <c r="Z109" s="735"/>
      <c r="AA109" s="735"/>
      <c r="AB109" s="736"/>
    </row>
    <row r="110" spans="1:28" ht="24.75" customHeight="1" x14ac:dyDescent="0.2">
      <c r="A110" s="8" t="s">
        <v>221</v>
      </c>
      <c r="B110" s="1838"/>
      <c r="C110" s="2267"/>
      <c r="D110" s="716" t="s">
        <v>181</v>
      </c>
      <c r="E110" s="1153"/>
      <c r="F110" s="1153"/>
      <c r="G110" s="1153"/>
      <c r="H110" s="1153"/>
      <c r="I110" s="395"/>
      <c r="J110" s="395"/>
      <c r="K110" s="394" t="s">
        <v>283</v>
      </c>
      <c r="L110" s="394" t="s">
        <v>284</v>
      </c>
      <c r="M110" s="389" t="s">
        <v>285</v>
      </c>
      <c r="N110" s="389" t="s">
        <v>286</v>
      </c>
      <c r="O110" s="389" t="s">
        <v>287</v>
      </c>
      <c r="P110" s="389" t="s">
        <v>288</v>
      </c>
      <c r="Q110" s="708"/>
      <c r="R110" s="708"/>
      <c r="S110" s="708"/>
      <c r="T110" s="709"/>
      <c r="U110" s="709"/>
      <c r="V110" s="710"/>
      <c r="W110" s="1810" t="s">
        <v>1649</v>
      </c>
      <c r="X110" s="1810" t="s">
        <v>1650</v>
      </c>
      <c r="Y110" s="1810" t="s">
        <v>1651</v>
      </c>
      <c r="Z110" s="1810" t="s">
        <v>1652</v>
      </c>
      <c r="AA110" s="1810" t="s">
        <v>1653</v>
      </c>
      <c r="AB110" s="1811" t="s">
        <v>1654</v>
      </c>
    </row>
    <row r="111" spans="1:28" ht="15" customHeight="1" thickBot="1" x14ac:dyDescent="0.25">
      <c r="A111" s="8" t="s">
        <v>221</v>
      </c>
      <c r="B111" s="1838"/>
      <c r="C111" s="2267"/>
      <c r="D111" s="716" t="s">
        <v>100</v>
      </c>
      <c r="E111" s="758"/>
      <c r="F111" s="758"/>
      <c r="G111" s="758"/>
      <c r="H111" s="758"/>
      <c r="I111" s="395"/>
      <c r="J111" s="395"/>
      <c r="K111" s="2395"/>
      <c r="L111" s="2396"/>
      <c r="M111" s="2396"/>
      <c r="N111" s="2396"/>
      <c r="O111" s="2396"/>
      <c r="P111" s="2397"/>
      <c r="Q111" s="924"/>
      <c r="R111" s="824"/>
      <c r="S111" s="824"/>
      <c r="T111" s="847"/>
      <c r="U111" s="847"/>
      <c r="V111" s="925"/>
      <c r="W111" s="1810" t="s">
        <v>1655</v>
      </c>
      <c r="X111" s="1810" t="s">
        <v>1656</v>
      </c>
      <c r="Y111" s="1810" t="s">
        <v>1657</v>
      </c>
      <c r="Z111" s="1810" t="s">
        <v>1658</v>
      </c>
      <c r="AA111" s="1810" t="s">
        <v>1659</v>
      </c>
      <c r="AB111" s="1811" t="s">
        <v>1660</v>
      </c>
    </row>
    <row r="112" spans="1:28" ht="12.95" customHeight="1" thickBot="1" x14ac:dyDescent="0.25">
      <c r="A112" s="8" t="s">
        <v>220</v>
      </c>
      <c r="B112" s="2265"/>
      <c r="C112" s="2267"/>
      <c r="D112" s="715"/>
      <c r="E112" s="2033" t="s">
        <v>7</v>
      </c>
      <c r="F112" s="2033"/>
      <c r="G112" s="2033"/>
      <c r="H112" s="2033"/>
      <c r="I112" s="2033"/>
      <c r="J112" s="2033"/>
      <c r="K112" s="2033"/>
      <c r="L112" s="2033"/>
      <c r="M112" s="2033"/>
      <c r="N112" s="2033"/>
      <c r="O112" s="2033"/>
      <c r="P112" s="2033"/>
      <c r="Q112" s="2033"/>
      <c r="R112" s="2033"/>
      <c r="S112" s="2033"/>
      <c r="T112" s="2033"/>
      <c r="U112" s="2033"/>
      <c r="V112" s="2033"/>
      <c r="W112" s="2033"/>
      <c r="X112" s="2033"/>
      <c r="Y112" s="2033"/>
      <c r="Z112" s="2033"/>
      <c r="AA112" s="2033"/>
      <c r="AB112" s="2034"/>
    </row>
    <row r="113" spans="1:29" ht="12.95" customHeight="1" thickBot="1" x14ac:dyDescent="0.25">
      <c r="A113" s="8" t="s">
        <v>220</v>
      </c>
      <c r="B113" s="2265"/>
      <c r="C113" s="909"/>
      <c r="D113" s="850"/>
      <c r="E113" s="1954" t="s">
        <v>129</v>
      </c>
      <c r="F113" s="1955"/>
      <c r="G113" s="1955"/>
      <c r="H113" s="1955"/>
      <c r="I113" s="1955"/>
      <c r="J113" s="1955"/>
      <c r="K113" s="1955"/>
      <c r="L113" s="1955"/>
      <c r="M113" s="1955"/>
      <c r="N113" s="1955"/>
      <c r="O113" s="1955"/>
      <c r="P113" s="1955"/>
      <c r="Q113" s="1956"/>
      <c r="R113" s="1956"/>
      <c r="S113" s="1956"/>
      <c r="T113" s="1956"/>
      <c r="U113" s="1956"/>
      <c r="V113" s="1956"/>
      <c r="W113" s="1955"/>
      <c r="X113" s="1955"/>
      <c r="Y113" s="1955"/>
      <c r="Z113" s="1955"/>
      <c r="AA113" s="1955"/>
      <c r="AB113" s="1957"/>
    </row>
    <row r="114" spans="1:29" ht="12.75" customHeight="1" thickBot="1" x14ac:dyDescent="0.25">
      <c r="A114" s="8" t="s">
        <v>220</v>
      </c>
      <c r="B114" s="582"/>
      <c r="C114" s="475" t="s">
        <v>881</v>
      </c>
      <c r="D114" s="1062"/>
      <c r="E114" s="1982" t="s">
        <v>882</v>
      </c>
      <c r="F114" s="1983"/>
      <c r="G114" s="1983"/>
      <c r="H114" s="1983"/>
      <c r="I114" s="1983"/>
      <c r="J114" s="1984"/>
      <c r="K114" s="1878" t="s">
        <v>979</v>
      </c>
      <c r="L114" s="1879"/>
      <c r="M114" s="1879"/>
      <c r="N114" s="1879"/>
      <c r="O114" s="1879"/>
      <c r="P114" s="1879"/>
      <c r="Q114" s="2406"/>
      <c r="R114" s="2407"/>
      <c r="S114" s="2407"/>
      <c r="T114" s="2407"/>
      <c r="U114" s="2407"/>
      <c r="V114" s="2408"/>
      <c r="W114" s="1991" t="s">
        <v>162</v>
      </c>
      <c r="X114" s="1991"/>
      <c r="Y114" s="1991"/>
      <c r="Z114" s="1991"/>
      <c r="AA114" s="1991"/>
      <c r="AB114" s="1992"/>
      <c r="AC114" s="583"/>
    </row>
    <row r="115" spans="1:29" ht="12.95" customHeight="1" x14ac:dyDescent="0.2">
      <c r="A115" s="8" t="s">
        <v>220</v>
      </c>
      <c r="B115" s="582"/>
      <c r="C115" s="2409" t="s">
        <v>1029</v>
      </c>
      <c r="D115" s="1932" t="s">
        <v>12</v>
      </c>
      <c r="E115" s="1061" t="s">
        <v>885</v>
      </c>
      <c r="F115" s="1064" t="s">
        <v>49</v>
      </c>
      <c r="G115" s="1064" t="s">
        <v>48</v>
      </c>
      <c r="H115" s="1064" t="s">
        <v>47</v>
      </c>
      <c r="I115" s="1064" t="s">
        <v>888</v>
      </c>
      <c r="J115" s="1065" t="s">
        <v>886</v>
      </c>
      <c r="K115" s="1061" t="s">
        <v>885</v>
      </c>
      <c r="L115" s="1064" t="s">
        <v>49</v>
      </c>
      <c r="M115" s="1064" t="s">
        <v>48</v>
      </c>
      <c r="N115" s="1064" t="s">
        <v>47</v>
      </c>
      <c r="O115" s="1064" t="s">
        <v>888</v>
      </c>
      <c r="P115" s="1064" t="s">
        <v>886</v>
      </c>
      <c r="Q115" s="588"/>
      <c r="R115" s="584"/>
      <c r="S115" s="584"/>
      <c r="T115" s="584"/>
      <c r="U115" s="584"/>
      <c r="V115" s="584"/>
      <c r="W115" s="995" t="s">
        <v>885</v>
      </c>
      <c r="X115" s="1064" t="s">
        <v>49</v>
      </c>
      <c r="Y115" s="1064" t="s">
        <v>48</v>
      </c>
      <c r="Z115" s="1064" t="s">
        <v>47</v>
      </c>
      <c r="AA115" s="1064" t="s">
        <v>888</v>
      </c>
      <c r="AB115" s="1065" t="s">
        <v>886</v>
      </c>
      <c r="AC115" s="583"/>
    </row>
    <row r="116" spans="1:29" ht="12.95" customHeight="1" x14ac:dyDescent="0.2">
      <c r="A116" s="8" t="s">
        <v>220</v>
      </c>
      <c r="B116" s="582"/>
      <c r="C116" s="2410"/>
      <c r="D116" s="2175"/>
      <c r="E116" s="581" t="s">
        <v>1024</v>
      </c>
      <c r="F116" s="1985" t="s">
        <v>986</v>
      </c>
      <c r="G116" s="1985"/>
      <c r="H116" s="1985"/>
      <c r="I116" s="1985"/>
      <c r="J116" s="1986"/>
      <c r="K116" s="581" t="s">
        <v>1024</v>
      </c>
      <c r="L116" s="1985" t="s">
        <v>986</v>
      </c>
      <c r="M116" s="1985"/>
      <c r="N116" s="1985"/>
      <c r="O116" s="1985"/>
      <c r="P116" s="1986"/>
      <c r="Q116" s="588"/>
      <c r="R116" s="584"/>
      <c r="S116" s="584"/>
      <c r="T116" s="584"/>
      <c r="U116" s="584"/>
      <c r="V116" s="584"/>
      <c r="W116" s="592" t="s">
        <v>1024</v>
      </c>
      <c r="X116" s="1100">
        <v>18</v>
      </c>
      <c r="Y116" s="1100">
        <v>18</v>
      </c>
      <c r="Z116" s="1100">
        <v>18</v>
      </c>
      <c r="AA116" s="1100">
        <v>8.5</v>
      </c>
      <c r="AB116" s="1101">
        <v>25</v>
      </c>
      <c r="AC116" s="583"/>
    </row>
    <row r="117" spans="1:29" s="225" customFormat="1" x14ac:dyDescent="0.2">
      <c r="A117" s="587" t="s">
        <v>220</v>
      </c>
      <c r="B117" s="594"/>
      <c r="C117" s="2410"/>
      <c r="D117" s="2175"/>
      <c r="E117" s="581" t="s">
        <v>1026</v>
      </c>
      <c r="F117" s="1985"/>
      <c r="G117" s="1985"/>
      <c r="H117" s="1985"/>
      <c r="I117" s="1985"/>
      <c r="J117" s="1986"/>
      <c r="K117" s="581" t="s">
        <v>1026</v>
      </c>
      <c r="L117" s="1985"/>
      <c r="M117" s="1985"/>
      <c r="N117" s="1985"/>
      <c r="O117" s="1985"/>
      <c r="P117" s="1986"/>
      <c r="Q117" s="588"/>
      <c r="R117" s="584"/>
      <c r="S117" s="584"/>
      <c r="T117" s="584"/>
      <c r="U117" s="584"/>
      <c r="V117" s="584"/>
      <c r="W117" s="592" t="s">
        <v>1026</v>
      </c>
      <c r="X117" s="1100">
        <v>40</v>
      </c>
      <c r="Y117" s="286">
        <v>40</v>
      </c>
      <c r="Z117" s="286">
        <v>40</v>
      </c>
      <c r="AA117" s="1100">
        <v>22</v>
      </c>
      <c r="AB117" s="1101">
        <v>50</v>
      </c>
      <c r="AC117" s="597"/>
    </row>
    <row r="118" spans="1:29" ht="12.95" customHeight="1" x14ac:dyDescent="0.2">
      <c r="A118" s="8" t="s">
        <v>220</v>
      </c>
      <c r="B118" s="582"/>
      <c r="C118" s="2410"/>
      <c r="D118" s="2175"/>
      <c r="E118" s="581" t="s">
        <v>1025</v>
      </c>
      <c r="F118" s="1985"/>
      <c r="G118" s="1985"/>
      <c r="H118" s="1985"/>
      <c r="I118" s="1985"/>
      <c r="J118" s="1986"/>
      <c r="K118" s="581" t="s">
        <v>1025</v>
      </c>
      <c r="L118" s="1985"/>
      <c r="M118" s="1985"/>
      <c r="N118" s="1985"/>
      <c r="O118" s="1985"/>
      <c r="P118" s="1986"/>
      <c r="Q118" s="588"/>
      <c r="R118" s="584"/>
      <c r="S118" s="584"/>
      <c r="T118" s="584"/>
      <c r="U118" s="584"/>
      <c r="V118" s="584"/>
      <c r="W118" s="592" t="s">
        <v>1025</v>
      </c>
      <c r="X118" s="1100">
        <v>30</v>
      </c>
      <c r="Y118" s="1100">
        <v>30</v>
      </c>
      <c r="Z118" s="1100">
        <v>30</v>
      </c>
      <c r="AA118" s="1100">
        <v>14</v>
      </c>
      <c r="AB118" s="1101">
        <v>39</v>
      </c>
      <c r="AC118" s="583"/>
    </row>
    <row r="119" spans="1:29" s="225" customFormat="1" ht="13.5" thickBot="1" x14ac:dyDescent="0.25">
      <c r="A119" s="587" t="s">
        <v>220</v>
      </c>
      <c r="B119" s="594"/>
      <c r="C119" s="2410"/>
      <c r="D119" s="2175"/>
      <c r="E119" s="1063" t="s">
        <v>1027</v>
      </c>
      <c r="F119" s="1987"/>
      <c r="G119" s="1987"/>
      <c r="H119" s="1987"/>
      <c r="I119" s="1987"/>
      <c r="J119" s="1988"/>
      <c r="K119" s="1063" t="s">
        <v>1027</v>
      </c>
      <c r="L119" s="1987"/>
      <c r="M119" s="1987"/>
      <c r="N119" s="1987"/>
      <c r="O119" s="1987"/>
      <c r="P119" s="1988"/>
      <c r="Q119" s="588"/>
      <c r="R119" s="584"/>
      <c r="S119" s="584"/>
      <c r="T119" s="584"/>
      <c r="U119" s="584"/>
      <c r="V119" s="584"/>
      <c r="W119" s="1102" t="s">
        <v>1027</v>
      </c>
      <c r="X119" s="1103">
        <v>40</v>
      </c>
      <c r="Y119" s="1104">
        <v>40</v>
      </c>
      <c r="Z119" s="1104">
        <v>40</v>
      </c>
      <c r="AA119" s="1103">
        <v>25</v>
      </c>
      <c r="AB119" s="1105">
        <v>51</v>
      </c>
      <c r="AC119" s="597"/>
    </row>
    <row r="120" spans="1:29" ht="12.75" customHeight="1" x14ac:dyDescent="0.2">
      <c r="A120" s="8" t="s">
        <v>220</v>
      </c>
      <c r="B120" s="582"/>
      <c r="C120" s="2410"/>
      <c r="D120" s="2175"/>
      <c r="E120" s="1061" t="s">
        <v>887</v>
      </c>
      <c r="F120" s="1064" t="s">
        <v>49</v>
      </c>
      <c r="G120" s="1064" t="s">
        <v>48</v>
      </c>
      <c r="H120" s="1064" t="s">
        <v>47</v>
      </c>
      <c r="I120" s="1064" t="s">
        <v>888</v>
      </c>
      <c r="J120" s="1065" t="s">
        <v>886</v>
      </c>
      <c r="K120" s="1061" t="s">
        <v>887</v>
      </c>
      <c r="L120" s="1064" t="s">
        <v>49</v>
      </c>
      <c r="M120" s="1064" t="s">
        <v>48</v>
      </c>
      <c r="N120" s="1064" t="s">
        <v>47</v>
      </c>
      <c r="O120" s="1064" t="s">
        <v>888</v>
      </c>
      <c r="P120" s="1064" t="s">
        <v>886</v>
      </c>
      <c r="Q120" s="588"/>
      <c r="R120" s="584"/>
      <c r="S120" s="584"/>
      <c r="T120" s="584"/>
      <c r="U120" s="584"/>
      <c r="V120" s="589"/>
      <c r="W120" s="995" t="s">
        <v>887</v>
      </c>
      <c r="X120" s="1064" t="s">
        <v>49</v>
      </c>
      <c r="Y120" s="1064" t="s">
        <v>48</v>
      </c>
      <c r="Z120" s="1064" t="s">
        <v>47</v>
      </c>
      <c r="AA120" s="1064" t="s">
        <v>888</v>
      </c>
      <c r="AB120" s="1065" t="s">
        <v>886</v>
      </c>
      <c r="AC120" s="583"/>
    </row>
    <row r="121" spans="1:29" ht="12.95" customHeight="1" x14ac:dyDescent="0.2">
      <c r="A121" s="8" t="s">
        <v>220</v>
      </c>
      <c r="B121" s="582"/>
      <c r="C121" s="2410"/>
      <c r="D121" s="2175"/>
      <c r="E121" s="581" t="s">
        <v>1024</v>
      </c>
      <c r="F121" s="1985" t="s">
        <v>986</v>
      </c>
      <c r="G121" s="1985"/>
      <c r="H121" s="1985"/>
      <c r="I121" s="1985"/>
      <c r="J121" s="1986"/>
      <c r="K121" s="581" t="s">
        <v>1024</v>
      </c>
      <c r="L121" s="1985" t="s">
        <v>986</v>
      </c>
      <c r="M121" s="1985"/>
      <c r="N121" s="1985"/>
      <c r="O121" s="1985"/>
      <c r="P121" s="1986"/>
      <c r="Q121" s="588"/>
      <c r="R121" s="584"/>
      <c r="S121" s="584"/>
      <c r="T121" s="584"/>
      <c r="U121" s="584"/>
      <c r="V121" s="589"/>
      <c r="W121" s="592" t="s">
        <v>1024</v>
      </c>
      <c r="X121" s="1100">
        <v>7</v>
      </c>
      <c r="Y121" s="1100">
        <v>7</v>
      </c>
      <c r="Z121" s="1100">
        <v>7</v>
      </c>
      <c r="AA121" s="1100">
        <v>3</v>
      </c>
      <c r="AB121" s="1101">
        <v>9.5</v>
      </c>
      <c r="AC121" s="583"/>
    </row>
    <row r="122" spans="1:29" s="225" customFormat="1" ht="11.25" customHeight="1" x14ac:dyDescent="0.2">
      <c r="A122" s="587" t="s">
        <v>220</v>
      </c>
      <c r="B122" s="594"/>
      <c r="C122" s="2410"/>
      <c r="D122" s="2175"/>
      <c r="E122" s="581" t="s">
        <v>1026</v>
      </c>
      <c r="F122" s="1985"/>
      <c r="G122" s="1985"/>
      <c r="H122" s="1985"/>
      <c r="I122" s="1985"/>
      <c r="J122" s="1986"/>
      <c r="K122" s="581" t="s">
        <v>1026</v>
      </c>
      <c r="L122" s="1985"/>
      <c r="M122" s="1985"/>
      <c r="N122" s="1985"/>
      <c r="O122" s="1985"/>
      <c r="P122" s="1986"/>
      <c r="Q122" s="588"/>
      <c r="R122" s="584"/>
      <c r="S122" s="584"/>
      <c r="T122" s="584"/>
      <c r="U122" s="584"/>
      <c r="V122" s="589"/>
      <c r="W122" s="592" t="s">
        <v>1026</v>
      </c>
      <c r="X122" s="1100">
        <v>50</v>
      </c>
      <c r="Y122" s="286">
        <v>50</v>
      </c>
      <c r="Z122" s="286">
        <v>50</v>
      </c>
      <c r="AA122" s="1100">
        <v>22</v>
      </c>
      <c r="AB122" s="1101">
        <v>65</v>
      </c>
      <c r="AC122" s="597"/>
    </row>
    <row r="123" spans="1:29" ht="12.95" customHeight="1" x14ac:dyDescent="0.2">
      <c r="A123" s="8" t="s">
        <v>220</v>
      </c>
      <c r="B123" s="783" t="s">
        <v>216</v>
      </c>
      <c r="C123" s="2410"/>
      <c r="D123" s="2175"/>
      <c r="E123" s="581" t="s">
        <v>1025</v>
      </c>
      <c r="F123" s="1985"/>
      <c r="G123" s="1985"/>
      <c r="H123" s="1985"/>
      <c r="I123" s="1985"/>
      <c r="J123" s="1986"/>
      <c r="K123" s="581" t="s">
        <v>1025</v>
      </c>
      <c r="L123" s="1985"/>
      <c r="M123" s="1985"/>
      <c r="N123" s="1985"/>
      <c r="O123" s="1985"/>
      <c r="P123" s="1986"/>
      <c r="Q123" s="588"/>
      <c r="R123" s="584"/>
      <c r="S123" s="584"/>
      <c r="T123" s="584"/>
      <c r="U123" s="584"/>
      <c r="V123" s="589"/>
      <c r="W123" s="592" t="s">
        <v>1025</v>
      </c>
      <c r="X123" s="1100">
        <v>30</v>
      </c>
      <c r="Y123" s="1100">
        <v>30</v>
      </c>
      <c r="Z123" s="1100">
        <v>30</v>
      </c>
      <c r="AA123" s="1100">
        <v>13</v>
      </c>
      <c r="AB123" s="1101">
        <v>45</v>
      </c>
      <c r="AC123" s="583"/>
    </row>
    <row r="124" spans="1:29" s="225" customFormat="1" ht="13.5" thickBot="1" x14ac:dyDescent="0.25">
      <c r="A124" s="587" t="s">
        <v>220</v>
      </c>
      <c r="B124" s="594"/>
      <c r="C124" s="2410"/>
      <c r="D124" s="1935"/>
      <c r="E124" s="581" t="s">
        <v>1027</v>
      </c>
      <c r="F124" s="1987"/>
      <c r="G124" s="1987"/>
      <c r="H124" s="1987"/>
      <c r="I124" s="1987"/>
      <c r="J124" s="1988"/>
      <c r="K124" s="581" t="s">
        <v>1027</v>
      </c>
      <c r="L124" s="1987"/>
      <c r="M124" s="1987"/>
      <c r="N124" s="1987"/>
      <c r="O124" s="1987"/>
      <c r="P124" s="1988"/>
      <c r="Q124" s="588"/>
      <c r="R124" s="584"/>
      <c r="S124" s="584"/>
      <c r="T124" s="584"/>
      <c r="U124" s="584"/>
      <c r="V124" s="589"/>
      <c r="W124" s="1102" t="s">
        <v>1027</v>
      </c>
      <c r="X124" s="1104">
        <v>92</v>
      </c>
      <c r="Y124" s="1104">
        <v>92</v>
      </c>
      <c r="Z124" s="1104">
        <v>92</v>
      </c>
      <c r="AA124" s="1104">
        <v>85</v>
      </c>
      <c r="AB124" s="1107">
        <v>97</v>
      </c>
      <c r="AC124" s="597"/>
    </row>
    <row r="125" spans="1:29" s="225" customFormat="1" x14ac:dyDescent="0.2">
      <c r="A125" s="587" t="s">
        <v>220</v>
      </c>
      <c r="B125" s="594"/>
      <c r="C125" s="2410"/>
      <c r="D125" s="1932" t="s">
        <v>10</v>
      </c>
      <c r="E125" s="1061" t="s">
        <v>885</v>
      </c>
      <c r="F125" s="1064" t="s">
        <v>49</v>
      </c>
      <c r="G125" s="1064" t="s">
        <v>48</v>
      </c>
      <c r="H125" s="1064" t="s">
        <v>47</v>
      </c>
      <c r="I125" s="1064" t="s">
        <v>888</v>
      </c>
      <c r="J125" s="1065" t="s">
        <v>886</v>
      </c>
      <c r="K125" s="1061" t="s">
        <v>885</v>
      </c>
      <c r="L125" s="1064" t="s">
        <v>49</v>
      </c>
      <c r="M125" s="1064" t="s">
        <v>48</v>
      </c>
      <c r="N125" s="1064" t="s">
        <v>47</v>
      </c>
      <c r="O125" s="1064" t="s">
        <v>888</v>
      </c>
      <c r="P125" s="1064" t="s">
        <v>886</v>
      </c>
      <c r="Q125" s="588"/>
      <c r="R125" s="584"/>
      <c r="S125" s="584"/>
      <c r="T125" s="584"/>
      <c r="U125" s="584"/>
      <c r="V125" s="589"/>
      <c r="W125" s="1060" t="s">
        <v>885</v>
      </c>
      <c r="X125" s="1814" t="s">
        <v>49</v>
      </c>
      <c r="Y125" s="1814" t="s">
        <v>48</v>
      </c>
      <c r="Z125" s="1814" t="s">
        <v>47</v>
      </c>
      <c r="AA125" s="1812" t="s">
        <v>1661</v>
      </c>
      <c r="AB125" s="1813" t="s">
        <v>1662</v>
      </c>
      <c r="AC125" s="597"/>
    </row>
    <row r="126" spans="1:29" ht="12.95" customHeight="1" x14ac:dyDescent="0.2">
      <c r="A126" s="8" t="s">
        <v>220</v>
      </c>
      <c r="B126" s="582"/>
      <c r="C126" s="2410"/>
      <c r="D126" s="2175"/>
      <c r="E126" s="592" t="s">
        <v>1024</v>
      </c>
      <c r="F126" s="1067">
        <v>18.186413507743087</v>
      </c>
      <c r="G126" s="1067">
        <v>19.257454259478855</v>
      </c>
      <c r="H126" s="1067">
        <v>16.965347133341634</v>
      </c>
      <c r="I126" s="1067">
        <v>18.089937428841615</v>
      </c>
      <c r="J126" s="1067">
        <v>18.778809602503117</v>
      </c>
      <c r="K126" s="592" t="s">
        <v>1024</v>
      </c>
      <c r="L126" s="1067">
        <v>13.005996104438164</v>
      </c>
      <c r="M126" s="1067">
        <v>11.524101933528691</v>
      </c>
      <c r="N126" s="1067">
        <v>14.767402939589408</v>
      </c>
      <c r="O126" s="1067">
        <v>8.5003626893688438</v>
      </c>
      <c r="P126" s="1067">
        <v>22.996810577925547</v>
      </c>
      <c r="Q126" s="588"/>
      <c r="R126" s="584"/>
      <c r="S126" s="584"/>
      <c r="T126" s="584"/>
      <c r="U126" s="584"/>
      <c r="V126" s="589"/>
      <c r="W126" s="592" t="s">
        <v>1024</v>
      </c>
      <c r="X126" s="1815">
        <v>12.336189605999493</v>
      </c>
      <c r="Y126" s="1815">
        <v>13.55966499809465</v>
      </c>
      <c r="Z126" s="1815">
        <v>11.066757884594457</v>
      </c>
      <c r="AA126" s="1815">
        <v>6.3460515144479226</v>
      </c>
      <c r="AB126" s="1816">
        <v>21.535678954147702</v>
      </c>
      <c r="AC126" s="583"/>
    </row>
    <row r="127" spans="1:29" s="225" customFormat="1" x14ac:dyDescent="0.2">
      <c r="A127" s="587" t="s">
        <v>220</v>
      </c>
      <c r="B127" s="594"/>
      <c r="C127" s="2410"/>
      <c r="D127" s="2175"/>
      <c r="E127" s="592" t="s">
        <v>1026</v>
      </c>
      <c r="F127" s="1068">
        <v>40.743011644933539</v>
      </c>
      <c r="G127" s="1068">
        <v>39.982743013127568</v>
      </c>
      <c r="H127" s="1068">
        <v>41.673272983201045</v>
      </c>
      <c r="I127" s="1068">
        <v>39.293053402067159</v>
      </c>
      <c r="J127" s="1068">
        <v>49.646250773426644</v>
      </c>
      <c r="K127" s="592" t="s">
        <v>1026</v>
      </c>
      <c r="L127" s="1068">
        <v>29.400567079544505</v>
      </c>
      <c r="M127" s="1068">
        <v>29.979902769052153</v>
      </c>
      <c r="N127" s="1068">
        <v>28.69033431643539</v>
      </c>
      <c r="O127" s="1068">
        <v>22.204149564842549</v>
      </c>
      <c r="P127" s="1068">
        <v>45.357939914776885</v>
      </c>
      <c r="Q127" s="588"/>
      <c r="R127" s="584"/>
      <c r="S127" s="584"/>
      <c r="T127" s="584"/>
      <c r="U127" s="584"/>
      <c r="V127" s="589"/>
      <c r="W127" s="592" t="s">
        <v>1026</v>
      </c>
      <c r="X127" s="1817">
        <v>28.372620251744372</v>
      </c>
      <c r="Y127" s="1817">
        <v>34.630420448363701</v>
      </c>
      <c r="Z127" s="1817">
        <v>21.879763814150074</v>
      </c>
      <c r="AA127" s="1817">
        <v>17.830221092522962</v>
      </c>
      <c r="AB127" s="1818">
        <v>44.563346957355748</v>
      </c>
      <c r="AC127" s="597"/>
    </row>
    <row r="128" spans="1:29" ht="12.95" customHeight="1" x14ac:dyDescent="0.2">
      <c r="A128" s="8" t="s">
        <v>220</v>
      </c>
      <c r="B128" s="582"/>
      <c r="C128" s="2410"/>
      <c r="D128" s="2175"/>
      <c r="E128" s="592" t="s">
        <v>1025</v>
      </c>
      <c r="F128" s="1067">
        <v>25.828900988493686</v>
      </c>
      <c r="G128" s="1067">
        <v>23.500571310586253</v>
      </c>
      <c r="H128" s="1067">
        <v>28.432088260542308</v>
      </c>
      <c r="I128" s="1067">
        <v>25.801818005486123</v>
      </c>
      <c r="J128" s="1067">
        <v>26.0158548977167</v>
      </c>
      <c r="K128" s="592" t="s">
        <v>1025</v>
      </c>
      <c r="L128" s="1067">
        <v>19.586306278088696</v>
      </c>
      <c r="M128" s="1067">
        <v>19.728278590722493</v>
      </c>
      <c r="N128" s="1067">
        <v>19.445319615288206</v>
      </c>
      <c r="O128" s="1067">
        <v>14.028366712556522</v>
      </c>
      <c r="P128" s="1067">
        <v>34.788903958323118</v>
      </c>
      <c r="Q128" s="588"/>
      <c r="R128" s="584"/>
      <c r="S128" s="584"/>
      <c r="T128" s="584"/>
      <c r="U128" s="584"/>
      <c r="V128" s="589"/>
      <c r="W128" s="592" t="s">
        <v>1025</v>
      </c>
      <c r="X128" s="1815">
        <v>10.471826154577455</v>
      </c>
      <c r="Y128" s="1815">
        <v>11.135816059436999</v>
      </c>
      <c r="Z128" s="1815">
        <v>9.6845690418792589</v>
      </c>
      <c r="AA128" s="1815">
        <v>5.9956287181526919</v>
      </c>
      <c r="AB128" s="1816">
        <v>18.431354688565921</v>
      </c>
      <c r="AC128" s="583"/>
    </row>
    <row r="129" spans="1:29" s="225" customFormat="1" ht="13.5" thickBot="1" x14ac:dyDescent="0.25">
      <c r="A129" s="587" t="s">
        <v>220</v>
      </c>
      <c r="B129" s="594"/>
      <c r="C129" s="2410"/>
      <c r="D129" s="2175"/>
      <c r="E129" s="592" t="s">
        <v>1027</v>
      </c>
      <c r="F129" s="1068">
        <v>38.230444506418536</v>
      </c>
      <c r="G129" s="1068">
        <v>37.549657353112558</v>
      </c>
      <c r="H129" s="1068">
        <v>38.96001792016235</v>
      </c>
      <c r="I129" s="1068">
        <v>37.255681127537848</v>
      </c>
      <c r="J129" s="1068">
        <v>44.959238900974988</v>
      </c>
      <c r="K129" s="592" t="s">
        <v>1027</v>
      </c>
      <c r="L129" s="1068">
        <v>31.133412066252149</v>
      </c>
      <c r="M129" s="1068">
        <v>30.837864894486078</v>
      </c>
      <c r="N129" s="1068">
        <v>31.493588755694159</v>
      </c>
      <c r="O129" s="1068">
        <v>24.616079400531035</v>
      </c>
      <c r="P129" s="1068">
        <v>48.960231753112268</v>
      </c>
      <c r="Q129" s="588"/>
      <c r="R129" s="584"/>
      <c r="S129" s="584"/>
      <c r="T129" s="584"/>
      <c r="U129" s="584"/>
      <c r="V129" s="589"/>
      <c r="W129" s="1102" t="s">
        <v>1027</v>
      </c>
      <c r="X129" s="1819">
        <v>22.000038443214223</v>
      </c>
      <c r="Y129" s="1819">
        <v>24.515468168086102</v>
      </c>
      <c r="Z129" s="1819">
        <v>19.017628728993124</v>
      </c>
      <c r="AA129" s="1819">
        <v>15.868943557822824</v>
      </c>
      <c r="AB129" s="1820">
        <v>32.902288707635478</v>
      </c>
      <c r="AC129" s="597"/>
    </row>
    <row r="130" spans="1:29" s="225" customFormat="1" x14ac:dyDescent="0.2">
      <c r="A130" s="587" t="s">
        <v>220</v>
      </c>
      <c r="B130" s="594"/>
      <c r="C130" s="2410"/>
      <c r="D130" s="2175"/>
      <c r="E130" s="995" t="s">
        <v>887</v>
      </c>
      <c r="F130" s="1064" t="s">
        <v>49</v>
      </c>
      <c r="G130" s="1064" t="s">
        <v>48</v>
      </c>
      <c r="H130" s="1064" t="s">
        <v>47</v>
      </c>
      <c r="I130" s="1064" t="s">
        <v>888</v>
      </c>
      <c r="J130" s="1064" t="s">
        <v>886</v>
      </c>
      <c r="K130" s="995" t="s">
        <v>887</v>
      </c>
      <c r="L130" s="1064" t="s">
        <v>49</v>
      </c>
      <c r="M130" s="1064" t="s">
        <v>48</v>
      </c>
      <c r="N130" s="1064" t="s">
        <v>47</v>
      </c>
      <c r="O130" s="1064" t="s">
        <v>888</v>
      </c>
      <c r="P130" s="1064" t="s">
        <v>886</v>
      </c>
      <c r="Q130" s="588"/>
      <c r="R130" s="584"/>
      <c r="S130" s="584"/>
      <c r="T130" s="584"/>
      <c r="U130" s="584"/>
      <c r="V130" s="584"/>
      <c r="W130" s="995" t="s">
        <v>887</v>
      </c>
      <c r="X130" s="1812" t="s">
        <v>49</v>
      </c>
      <c r="Y130" s="1812" t="s">
        <v>48</v>
      </c>
      <c r="Z130" s="1812" t="s">
        <v>47</v>
      </c>
      <c r="AA130" s="1812" t="s">
        <v>1661</v>
      </c>
      <c r="AB130" s="1813" t="s">
        <v>1662</v>
      </c>
      <c r="AC130" s="597"/>
    </row>
    <row r="131" spans="1:29" ht="12.95" customHeight="1" x14ac:dyDescent="0.2">
      <c r="A131" s="8" t="s">
        <v>220</v>
      </c>
      <c r="B131" s="582"/>
      <c r="C131" s="2410"/>
      <c r="D131" s="2175"/>
      <c r="E131" s="592" t="s">
        <v>1024</v>
      </c>
      <c r="F131" s="1067">
        <v>7.2451352253414756</v>
      </c>
      <c r="G131" s="1067">
        <v>4.4923668303954845</v>
      </c>
      <c r="H131" s="1067">
        <v>9.9973130094120499</v>
      </c>
      <c r="I131" s="1067">
        <v>7.5478809293341502</v>
      </c>
      <c r="J131" s="1067">
        <v>5.3897560040411134</v>
      </c>
      <c r="K131" s="592" t="s">
        <v>1024</v>
      </c>
      <c r="L131" s="1067">
        <v>4.5251649134328691</v>
      </c>
      <c r="M131" s="1067">
        <v>4.2983630787330434</v>
      </c>
      <c r="N131" s="1067">
        <v>4.7881647592283869</v>
      </c>
      <c r="O131" s="1067">
        <v>2.931767003649421</v>
      </c>
      <c r="P131" s="1067">
        <v>8.0258469831260637</v>
      </c>
      <c r="Q131" s="588"/>
      <c r="R131" s="584"/>
      <c r="S131" s="584"/>
      <c r="T131" s="584"/>
      <c r="U131" s="584"/>
      <c r="V131" s="584"/>
      <c r="W131" s="592" t="s">
        <v>1024</v>
      </c>
      <c r="X131" s="1823">
        <v>8.7401791648169489</v>
      </c>
      <c r="Y131" s="1823">
        <v>8.4468253379442082</v>
      </c>
      <c r="Z131" s="1823">
        <v>9.0973745862480762</v>
      </c>
      <c r="AA131" s="1823">
        <v>4.6829766472350842</v>
      </c>
      <c r="AB131" s="1823">
        <v>14.92997406160417</v>
      </c>
      <c r="AC131" s="583"/>
    </row>
    <row r="132" spans="1:29" s="225" customFormat="1" x14ac:dyDescent="0.2">
      <c r="A132" s="587" t="s">
        <v>220</v>
      </c>
      <c r="B132" s="594"/>
      <c r="C132" s="2410"/>
      <c r="D132" s="2175"/>
      <c r="E132" s="592" t="s">
        <v>1026</v>
      </c>
      <c r="F132" s="1068">
        <v>48.133246188189545</v>
      </c>
      <c r="G132" s="1068">
        <v>48.111643507414264</v>
      </c>
      <c r="H132" s="1068">
        <v>47.974811597721676</v>
      </c>
      <c r="I132" s="1068">
        <v>45.825267912027151</v>
      </c>
      <c r="J132" s="1068">
        <v>62.277707630020508</v>
      </c>
      <c r="K132" s="592" t="s">
        <v>1026</v>
      </c>
      <c r="L132" s="1068">
        <v>27.819326996858319</v>
      </c>
      <c r="M132" s="1068">
        <v>27.049792916833898</v>
      </c>
      <c r="N132" s="1068">
        <v>28.718752897187628</v>
      </c>
      <c r="O132" s="1068">
        <v>21.589835896944141</v>
      </c>
      <c r="P132" s="1068">
        <v>41.505467579122964</v>
      </c>
      <c r="Q132" s="588"/>
      <c r="R132" s="584"/>
      <c r="S132" s="584"/>
      <c r="T132" s="584"/>
      <c r="U132" s="584"/>
      <c r="V132" s="584"/>
      <c r="W132" s="592" t="s">
        <v>1026</v>
      </c>
      <c r="X132" s="1823">
        <v>35.773539364495356</v>
      </c>
      <c r="Y132" s="1823">
        <v>41.377175445936246</v>
      </c>
      <c r="Z132" s="1823">
        <v>28.950403041391397</v>
      </c>
      <c r="AA132" s="1823">
        <v>28.950460807773716</v>
      </c>
      <c r="AB132" s="1823">
        <v>46.183041145033911</v>
      </c>
      <c r="AC132" s="597"/>
    </row>
    <row r="133" spans="1:29" ht="12.75" customHeight="1" x14ac:dyDescent="0.2">
      <c r="A133" s="8" t="s">
        <v>220</v>
      </c>
      <c r="B133" s="582"/>
      <c r="C133" s="2410"/>
      <c r="D133" s="2175"/>
      <c r="E133" s="592" t="s">
        <v>1025</v>
      </c>
      <c r="F133" s="1067">
        <v>31.286103335377181</v>
      </c>
      <c r="G133" s="1067">
        <v>29.219589554569893</v>
      </c>
      <c r="H133" s="1067">
        <v>32.695381751288991</v>
      </c>
      <c r="I133" s="1067">
        <v>29.686274108541305</v>
      </c>
      <c r="J133" s="1067">
        <v>42.635596233416528</v>
      </c>
      <c r="K133" s="592" t="s">
        <v>1025</v>
      </c>
      <c r="L133" s="1067">
        <v>16.492469373840322</v>
      </c>
      <c r="M133" s="1067">
        <v>16.329688779142192</v>
      </c>
      <c r="N133" s="1067">
        <v>16.688686332315989</v>
      </c>
      <c r="O133" s="1067">
        <v>12.938027424040261</v>
      </c>
      <c r="P133" s="1067">
        <v>26.179533326734138</v>
      </c>
      <c r="Q133" s="588"/>
      <c r="R133" s="584"/>
      <c r="S133" s="584"/>
      <c r="T133" s="584"/>
      <c r="U133" s="584"/>
      <c r="V133" s="584"/>
      <c r="W133" s="592" t="s">
        <v>1025</v>
      </c>
      <c r="X133" s="1815">
        <v>13.584716709723315</v>
      </c>
      <c r="Y133" s="1815">
        <v>13.24255251605832</v>
      </c>
      <c r="Z133" s="1815">
        <v>13.941338383374749</v>
      </c>
      <c r="AA133" s="1815">
        <v>9.6484168853408985</v>
      </c>
      <c r="AB133" s="1816">
        <v>20.565982717258031</v>
      </c>
      <c r="AC133" s="583"/>
    </row>
    <row r="134" spans="1:29" s="225" customFormat="1" ht="13.5" thickBot="1" x14ac:dyDescent="0.25">
      <c r="A134" s="587" t="s">
        <v>220</v>
      </c>
      <c r="B134" s="594"/>
      <c r="C134" s="2410"/>
      <c r="D134" s="1935"/>
      <c r="E134" s="593" t="s">
        <v>1027</v>
      </c>
      <c r="F134" s="1070">
        <v>88.735748291795744</v>
      </c>
      <c r="G134" s="1070">
        <v>90.098846942176735</v>
      </c>
      <c r="H134" s="1070">
        <v>87.217508262879207</v>
      </c>
      <c r="I134" s="1070">
        <v>87.649870454672538</v>
      </c>
      <c r="J134" s="1070">
        <v>96.439172253453748</v>
      </c>
      <c r="K134" s="593" t="s">
        <v>1027</v>
      </c>
      <c r="L134" s="1070">
        <v>84.942864680974708</v>
      </c>
      <c r="M134" s="1070">
        <v>84.993271062550861</v>
      </c>
      <c r="N134" s="1070">
        <v>84.88210444785858</v>
      </c>
      <c r="O134" s="1070">
        <v>81.27428929351133</v>
      </c>
      <c r="P134" s="1070">
        <v>94.940981093135804</v>
      </c>
      <c r="Q134" s="590"/>
      <c r="R134" s="1066"/>
      <c r="S134" s="1066"/>
      <c r="T134" s="1066"/>
      <c r="U134" s="1066"/>
      <c r="V134" s="1066"/>
      <c r="W134" s="593" t="s">
        <v>1027</v>
      </c>
      <c r="X134" s="1819">
        <v>91.705203698710918</v>
      </c>
      <c r="Y134" s="1819">
        <v>89.860888862492203</v>
      </c>
      <c r="Z134" s="1819">
        <v>93.627446457625808</v>
      </c>
      <c r="AA134" s="1819">
        <v>90.488221625194811</v>
      </c>
      <c r="AB134" s="1820">
        <v>93.863595071489584</v>
      </c>
      <c r="AC134" s="597"/>
    </row>
    <row r="135" spans="1:29" ht="12.95" customHeight="1" thickBot="1" x14ac:dyDescent="0.25">
      <c r="A135" s="8" t="s">
        <v>220</v>
      </c>
      <c r="B135" s="594"/>
      <c r="C135" s="2410"/>
      <c r="D135" s="774"/>
      <c r="E135" s="1989" t="s">
        <v>7</v>
      </c>
      <c r="F135" s="1989"/>
      <c r="G135" s="1989"/>
      <c r="H135" s="1989"/>
      <c r="I135" s="1989"/>
      <c r="J135" s="1989"/>
      <c r="K135" s="1989"/>
      <c r="L135" s="1989"/>
      <c r="M135" s="1989"/>
      <c r="N135" s="1989"/>
      <c r="O135" s="1989"/>
      <c r="P135" s="1989"/>
      <c r="Q135" s="1989"/>
      <c r="R135" s="1989"/>
      <c r="S135" s="1989"/>
      <c r="T135" s="1989"/>
      <c r="U135" s="1989"/>
      <c r="V135" s="1989"/>
      <c r="W135" s="1989"/>
      <c r="X135" s="1989"/>
      <c r="Y135" s="1989"/>
      <c r="Z135" s="1989"/>
      <c r="AA135" s="1989"/>
      <c r="AB135" s="1990"/>
    </row>
    <row r="136" spans="1:29" ht="12.95" customHeight="1" thickBot="1" x14ac:dyDescent="0.25">
      <c r="A136" s="8" t="s">
        <v>220</v>
      </c>
      <c r="B136" s="594"/>
      <c r="C136" s="2411"/>
      <c r="D136" s="850"/>
      <c r="E136" s="1954" t="s">
        <v>1030</v>
      </c>
      <c r="F136" s="1955"/>
      <c r="G136" s="1955"/>
      <c r="H136" s="1955"/>
      <c r="I136" s="1955"/>
      <c r="J136" s="1955"/>
      <c r="K136" s="1955"/>
      <c r="L136" s="1955"/>
      <c r="M136" s="1955"/>
      <c r="N136" s="1955"/>
      <c r="O136" s="1955"/>
      <c r="P136" s="1955"/>
      <c r="Q136" s="1956"/>
      <c r="R136" s="1956"/>
      <c r="S136" s="1956"/>
      <c r="T136" s="1956"/>
      <c r="U136" s="1956"/>
      <c r="V136" s="1956"/>
      <c r="W136" s="1955"/>
      <c r="X136" s="1955"/>
      <c r="Y136" s="1955"/>
      <c r="Z136" s="1955"/>
      <c r="AA136" s="1955"/>
      <c r="AB136" s="1957"/>
    </row>
    <row r="137" spans="1:29" s="225" customFormat="1" ht="12.95" customHeight="1" thickBot="1" x14ac:dyDescent="0.25">
      <c r="A137" s="587" t="s">
        <v>220</v>
      </c>
      <c r="B137" s="594"/>
      <c r="C137" s="475" t="s">
        <v>883</v>
      </c>
      <c r="D137" s="596"/>
      <c r="E137" s="2403" t="s">
        <v>882</v>
      </c>
      <c r="F137" s="2404"/>
      <c r="G137" s="2404"/>
      <c r="H137" s="2404"/>
      <c r="I137" s="2404"/>
      <c r="J137" s="2405"/>
      <c r="K137" s="1878" t="s">
        <v>979</v>
      </c>
      <c r="L137" s="1879"/>
      <c r="M137" s="1879"/>
      <c r="N137" s="1879"/>
      <c r="O137" s="1879"/>
      <c r="P137" s="1880"/>
      <c r="Q137" s="2398"/>
      <c r="R137" s="2399"/>
      <c r="S137" s="2399"/>
      <c r="T137" s="2399"/>
      <c r="U137" s="2399"/>
      <c r="V137" s="2400"/>
      <c r="W137" s="2401" t="s">
        <v>162</v>
      </c>
      <c r="X137" s="2401"/>
      <c r="Y137" s="2401"/>
      <c r="Z137" s="2401"/>
      <c r="AA137" s="2401"/>
      <c r="AB137" s="2402"/>
      <c r="AC137" s="597"/>
    </row>
    <row r="138" spans="1:29" ht="12.75" customHeight="1" x14ac:dyDescent="0.2">
      <c r="A138" s="8" t="s">
        <v>220</v>
      </c>
      <c r="B138" s="582"/>
      <c r="C138" s="2353" t="s">
        <v>1028</v>
      </c>
      <c r="D138" s="1932" t="s">
        <v>12</v>
      </c>
      <c r="E138" s="995" t="s">
        <v>885</v>
      </c>
      <c r="F138" s="585" t="s">
        <v>49</v>
      </c>
      <c r="G138" s="585" t="s">
        <v>48</v>
      </c>
      <c r="H138" s="585" t="s">
        <v>47</v>
      </c>
      <c r="I138" s="585" t="s">
        <v>888</v>
      </c>
      <c r="J138" s="586" t="s">
        <v>886</v>
      </c>
      <c r="K138" s="995" t="s">
        <v>885</v>
      </c>
      <c r="L138" s="1064" t="s">
        <v>49</v>
      </c>
      <c r="M138" s="1064" t="s">
        <v>48</v>
      </c>
      <c r="N138" s="1064" t="s">
        <v>47</v>
      </c>
      <c r="O138" s="1064" t="s">
        <v>888</v>
      </c>
      <c r="P138" s="1065" t="s">
        <v>886</v>
      </c>
      <c r="Q138" s="584"/>
      <c r="R138" s="584"/>
      <c r="S138" s="584"/>
      <c r="T138" s="584"/>
      <c r="U138" s="584"/>
      <c r="V138" s="589"/>
      <c r="W138" s="995" t="s">
        <v>885</v>
      </c>
      <c r="X138" s="1064" t="s">
        <v>49</v>
      </c>
      <c r="Y138" s="1064" t="s">
        <v>48</v>
      </c>
      <c r="Z138" s="1064" t="s">
        <v>47</v>
      </c>
      <c r="AA138" s="1064" t="s">
        <v>888</v>
      </c>
      <c r="AB138" s="1065" t="s">
        <v>886</v>
      </c>
      <c r="AC138" s="583"/>
    </row>
    <row r="139" spans="1:29" ht="12.95" customHeight="1" x14ac:dyDescent="0.2">
      <c r="A139" s="8" t="s">
        <v>220</v>
      </c>
      <c r="B139" s="582"/>
      <c r="C139" s="2354"/>
      <c r="D139" s="2175"/>
      <c r="E139" s="592" t="s">
        <v>1024</v>
      </c>
      <c r="F139" s="1985" t="s">
        <v>986</v>
      </c>
      <c r="G139" s="1985"/>
      <c r="H139" s="1985"/>
      <c r="I139" s="1985"/>
      <c r="J139" s="1986"/>
      <c r="K139" s="592" t="s">
        <v>1024</v>
      </c>
      <c r="L139" s="1985" t="s">
        <v>986</v>
      </c>
      <c r="M139" s="1985"/>
      <c r="N139" s="1985"/>
      <c r="O139" s="1985"/>
      <c r="P139" s="1986"/>
      <c r="Q139" s="584"/>
      <c r="R139" s="584"/>
      <c r="S139" s="584"/>
      <c r="T139" s="584"/>
      <c r="U139" s="584"/>
      <c r="V139" s="589"/>
      <c r="W139" s="592" t="s">
        <v>1024</v>
      </c>
      <c r="X139" s="1830">
        <v>8</v>
      </c>
      <c r="Y139" s="1830">
        <v>8</v>
      </c>
      <c r="Z139" s="1830">
        <v>8</v>
      </c>
      <c r="AA139" s="1830">
        <v>2.6</v>
      </c>
      <c r="AB139" s="1825">
        <v>10</v>
      </c>
      <c r="AC139" s="583"/>
    </row>
    <row r="140" spans="1:29" s="225" customFormat="1" ht="11.25" customHeight="1" x14ac:dyDescent="0.2">
      <c r="A140" s="587" t="s">
        <v>220</v>
      </c>
      <c r="B140" s="594"/>
      <c r="C140" s="2354"/>
      <c r="D140" s="2175"/>
      <c r="E140" s="592" t="s">
        <v>1026</v>
      </c>
      <c r="F140" s="1985"/>
      <c r="G140" s="1985"/>
      <c r="H140" s="1985"/>
      <c r="I140" s="1985"/>
      <c r="J140" s="1986"/>
      <c r="K140" s="592" t="s">
        <v>1026</v>
      </c>
      <c r="L140" s="1985"/>
      <c r="M140" s="1985"/>
      <c r="N140" s="1985"/>
      <c r="O140" s="1985"/>
      <c r="P140" s="1986"/>
      <c r="Q140" s="588"/>
      <c r="R140" s="584"/>
      <c r="S140" s="584"/>
      <c r="T140" s="584"/>
      <c r="U140" s="584"/>
      <c r="V140" s="589"/>
      <c r="W140" s="592" t="s">
        <v>1026</v>
      </c>
      <c r="X140" s="1830">
        <v>21</v>
      </c>
      <c r="Y140" s="1830">
        <v>21</v>
      </c>
      <c r="Z140" s="1830">
        <v>21</v>
      </c>
      <c r="AA140" s="1830">
        <v>10</v>
      </c>
      <c r="AB140" s="1825">
        <v>24</v>
      </c>
      <c r="AC140" s="597"/>
    </row>
    <row r="141" spans="1:29" ht="12.75" customHeight="1" x14ac:dyDescent="0.2">
      <c r="A141" s="8" t="s">
        <v>220</v>
      </c>
      <c r="B141" s="582"/>
      <c r="C141" s="2354"/>
      <c r="D141" s="2175"/>
      <c r="E141" s="1060" t="s">
        <v>887</v>
      </c>
      <c r="F141" s="1985"/>
      <c r="G141" s="1985"/>
      <c r="H141" s="1985"/>
      <c r="I141" s="1985"/>
      <c r="J141" s="1986"/>
      <c r="K141" s="1060" t="s">
        <v>887</v>
      </c>
      <c r="L141" s="1985"/>
      <c r="M141" s="1985"/>
      <c r="N141" s="1985"/>
      <c r="O141" s="1985"/>
      <c r="P141" s="1986"/>
      <c r="Q141" s="584"/>
      <c r="R141" s="584"/>
      <c r="S141" s="584"/>
      <c r="T141" s="584"/>
      <c r="U141" s="584"/>
      <c r="V141" s="589"/>
      <c r="W141" s="1060" t="s">
        <v>887</v>
      </c>
      <c r="X141" s="1824"/>
      <c r="Y141" s="1824"/>
      <c r="Z141" s="1824"/>
      <c r="AA141" s="1824"/>
      <c r="AB141" s="1824"/>
      <c r="AC141" s="583"/>
    </row>
    <row r="142" spans="1:29" ht="12.95" customHeight="1" x14ac:dyDescent="0.2">
      <c r="A142" s="8" t="s">
        <v>220</v>
      </c>
      <c r="B142" s="582"/>
      <c r="C142" s="2354"/>
      <c r="D142" s="2175"/>
      <c r="E142" s="592" t="s">
        <v>1024</v>
      </c>
      <c r="F142" s="1985"/>
      <c r="G142" s="1985"/>
      <c r="H142" s="1985"/>
      <c r="I142" s="1985"/>
      <c r="J142" s="1986"/>
      <c r="K142" s="592" t="s">
        <v>1024</v>
      </c>
      <c r="L142" s="1985"/>
      <c r="M142" s="1985"/>
      <c r="N142" s="1985"/>
      <c r="O142" s="1985"/>
      <c r="P142" s="1986"/>
      <c r="Q142" s="584"/>
      <c r="R142" s="584"/>
      <c r="S142" s="584"/>
      <c r="T142" s="584"/>
      <c r="U142" s="584"/>
      <c r="V142" s="589"/>
      <c r="W142" s="592" t="s">
        <v>1024</v>
      </c>
      <c r="X142" s="1830">
        <v>3</v>
      </c>
      <c r="Y142" s="1830">
        <v>3</v>
      </c>
      <c r="Z142" s="1830">
        <v>3</v>
      </c>
      <c r="AA142" s="1830">
        <v>0.25</v>
      </c>
      <c r="AB142" s="1825">
        <v>3.5</v>
      </c>
      <c r="AC142" s="583"/>
    </row>
    <row r="143" spans="1:29" s="225" customFormat="1" ht="11.25" customHeight="1" thickBot="1" x14ac:dyDescent="0.25">
      <c r="A143" s="587" t="s">
        <v>220</v>
      </c>
      <c r="B143" s="594"/>
      <c r="C143" s="2354"/>
      <c r="D143" s="2175"/>
      <c r="E143" s="592" t="s">
        <v>1026</v>
      </c>
      <c r="F143" s="1987"/>
      <c r="G143" s="1987"/>
      <c r="H143" s="1987"/>
      <c r="I143" s="1987"/>
      <c r="J143" s="1988"/>
      <c r="K143" s="592" t="s">
        <v>1026</v>
      </c>
      <c r="L143" s="1987"/>
      <c r="M143" s="1987"/>
      <c r="N143" s="1987"/>
      <c r="O143" s="1987"/>
      <c r="P143" s="1988"/>
      <c r="Q143" s="588"/>
      <c r="R143" s="584"/>
      <c r="S143" s="584"/>
      <c r="T143" s="584"/>
      <c r="U143" s="584"/>
      <c r="V143" s="589"/>
      <c r="W143" s="592" t="s">
        <v>1026</v>
      </c>
      <c r="X143" s="1830">
        <v>16</v>
      </c>
      <c r="Y143" s="1830">
        <v>16</v>
      </c>
      <c r="Z143" s="1830">
        <v>16</v>
      </c>
      <c r="AA143" s="1830">
        <v>8.5</v>
      </c>
      <c r="AB143" s="1825">
        <v>18</v>
      </c>
      <c r="AC143" s="597"/>
    </row>
    <row r="144" spans="1:29" s="225" customFormat="1" ht="11.25" customHeight="1" x14ac:dyDescent="0.2">
      <c r="A144" s="587" t="s">
        <v>220</v>
      </c>
      <c r="B144" s="594"/>
      <c r="C144" s="2354"/>
      <c r="D144" s="2176" t="s">
        <v>10</v>
      </c>
      <c r="E144" s="1061" t="s">
        <v>885</v>
      </c>
      <c r="F144" s="1064" t="s">
        <v>49</v>
      </c>
      <c r="G144" s="1064" t="s">
        <v>48</v>
      </c>
      <c r="H144" s="1064" t="s">
        <v>47</v>
      </c>
      <c r="I144" s="1064" t="s">
        <v>888</v>
      </c>
      <c r="J144" s="1064" t="s">
        <v>886</v>
      </c>
      <c r="K144" s="995" t="s">
        <v>885</v>
      </c>
      <c r="L144" s="1064" t="s">
        <v>49</v>
      </c>
      <c r="M144" s="1064" t="s">
        <v>48</v>
      </c>
      <c r="N144" s="1064" t="s">
        <v>47</v>
      </c>
      <c r="O144" s="1064" t="s">
        <v>888</v>
      </c>
      <c r="P144" s="1065" t="s">
        <v>886</v>
      </c>
      <c r="Q144" s="584"/>
      <c r="R144" s="584"/>
      <c r="S144" s="584"/>
      <c r="T144" s="584"/>
      <c r="U144" s="584"/>
      <c r="V144" s="584"/>
      <c r="W144" s="1071" t="s">
        <v>885</v>
      </c>
      <c r="X144" s="1821" t="s">
        <v>49</v>
      </c>
      <c r="Y144" s="1821" t="s">
        <v>48</v>
      </c>
      <c r="Z144" s="1821" t="s">
        <v>47</v>
      </c>
      <c r="AA144" s="1821" t="s">
        <v>1661</v>
      </c>
      <c r="AB144" s="1822" t="s">
        <v>1662</v>
      </c>
      <c r="AC144" s="597"/>
    </row>
    <row r="145" spans="1:29" ht="12.95" customHeight="1" x14ac:dyDescent="0.2">
      <c r="A145" s="8" t="s">
        <v>220</v>
      </c>
      <c r="B145" s="582"/>
      <c r="C145" s="2354"/>
      <c r="D145" s="2177"/>
      <c r="E145" s="581" t="s">
        <v>1024</v>
      </c>
      <c r="F145" s="1067"/>
      <c r="G145" s="1067"/>
      <c r="H145" s="1067"/>
      <c r="I145" s="1067"/>
      <c r="J145" s="1067"/>
      <c r="K145" s="592" t="s">
        <v>1024</v>
      </c>
      <c r="L145" s="1068">
        <v>6.4642840029012119</v>
      </c>
      <c r="M145" s="1068">
        <v>5.9463313250371854</v>
      </c>
      <c r="N145" s="1068">
        <v>7.1691515807081174</v>
      </c>
      <c r="O145" s="1068">
        <v>2.5636024451056989</v>
      </c>
      <c r="P145" s="1069">
        <v>17.654900259562396</v>
      </c>
      <c r="Q145" s="584"/>
      <c r="R145" s="584"/>
      <c r="S145" s="584"/>
      <c r="T145" s="584"/>
      <c r="U145" s="584"/>
      <c r="V145" s="584"/>
      <c r="W145" s="592" t="s">
        <v>1024</v>
      </c>
      <c r="X145" s="1833">
        <v>12.119348163598808</v>
      </c>
      <c r="Y145" s="1833">
        <v>17.501483132707207</v>
      </c>
      <c r="Z145" s="1833">
        <v>4.9153984375604542</v>
      </c>
      <c r="AA145" s="1833">
        <v>1.2101223420845266</v>
      </c>
      <c r="AB145" s="1834">
        <v>33.530117958285445</v>
      </c>
      <c r="AC145" s="583"/>
    </row>
    <row r="146" spans="1:29" s="225" customFormat="1" x14ac:dyDescent="0.2">
      <c r="A146" s="587" t="s">
        <v>220</v>
      </c>
      <c r="B146" s="594"/>
      <c r="C146" s="2354"/>
      <c r="D146" s="2177"/>
      <c r="E146" s="581" t="s">
        <v>1026</v>
      </c>
      <c r="F146" s="1068"/>
      <c r="G146" s="1068"/>
      <c r="H146" s="1068"/>
      <c r="I146" s="1068"/>
      <c r="J146" s="1068"/>
      <c r="K146" s="592" t="s">
        <v>1026</v>
      </c>
      <c r="L146" s="1068">
        <v>17.739484552612865</v>
      </c>
      <c r="M146" s="1068">
        <v>15.828185912983999</v>
      </c>
      <c r="N146" s="1068">
        <v>20.340518392492935</v>
      </c>
      <c r="O146" s="1068">
        <v>10.512353121632714</v>
      </c>
      <c r="P146" s="1069">
        <v>38.473311008895273</v>
      </c>
      <c r="Q146" s="584"/>
      <c r="R146" s="584"/>
      <c r="S146" s="584"/>
      <c r="T146" s="584"/>
      <c r="U146" s="584"/>
      <c r="V146" s="584"/>
      <c r="W146" s="592" t="s">
        <v>1026</v>
      </c>
      <c r="X146" s="1831">
        <v>19.279154740675715</v>
      </c>
      <c r="Y146" s="1831">
        <v>24.288220086079733</v>
      </c>
      <c r="Z146" s="1831">
        <v>12.574556076790982</v>
      </c>
      <c r="AA146" s="1831">
        <v>4.6252318787493145</v>
      </c>
      <c r="AB146" s="1832">
        <v>48.039377887495746</v>
      </c>
      <c r="AC146" s="597"/>
    </row>
    <row r="147" spans="1:29" ht="12.75" customHeight="1" x14ac:dyDescent="0.2">
      <c r="A147" s="8" t="s">
        <v>220</v>
      </c>
      <c r="B147" s="582"/>
      <c r="C147" s="2354"/>
      <c r="D147" s="2177"/>
      <c r="E147" s="1059" t="s">
        <v>887</v>
      </c>
      <c r="F147" s="1072"/>
      <c r="G147" s="1072"/>
      <c r="H147" s="1072"/>
      <c r="I147" s="1072"/>
      <c r="J147" s="1072"/>
      <c r="K147" s="1060" t="s">
        <v>887</v>
      </c>
      <c r="L147" s="1073"/>
      <c r="M147" s="1073"/>
      <c r="N147" s="1073"/>
      <c r="O147" s="1073"/>
      <c r="P147" s="1074"/>
      <c r="Q147" s="584"/>
      <c r="R147" s="584"/>
      <c r="S147" s="584"/>
      <c r="T147" s="584"/>
      <c r="U147" s="584"/>
      <c r="V147" s="584"/>
      <c r="W147" s="1060" t="s">
        <v>887</v>
      </c>
      <c r="X147" s="1828"/>
      <c r="Y147" s="1828"/>
      <c r="Z147" s="1828"/>
      <c r="AA147" s="1828"/>
      <c r="AB147" s="1829"/>
      <c r="AC147" s="583"/>
    </row>
    <row r="148" spans="1:29" ht="12.95" customHeight="1" x14ac:dyDescent="0.2">
      <c r="A148" s="8" t="s">
        <v>220</v>
      </c>
      <c r="B148" s="582"/>
      <c r="C148" s="2354"/>
      <c r="D148" s="2177"/>
      <c r="E148" s="581" t="s">
        <v>1024</v>
      </c>
      <c r="F148" s="1067"/>
      <c r="G148" s="1067"/>
      <c r="H148" s="1067"/>
      <c r="I148" s="1067"/>
      <c r="J148" s="1067"/>
      <c r="K148" s="592" t="s">
        <v>1024</v>
      </c>
      <c r="L148" s="1068">
        <v>1.5949626716729708</v>
      </c>
      <c r="M148" s="1068">
        <v>2.1496001658373083</v>
      </c>
      <c r="N148" s="1068">
        <v>0.69924979950659183</v>
      </c>
      <c r="O148" s="1068">
        <v>0.22159763562820239</v>
      </c>
      <c r="P148" s="1069">
        <v>5.5585931854491806</v>
      </c>
      <c r="Q148" s="584"/>
      <c r="R148" s="584"/>
      <c r="S148" s="584"/>
      <c r="T148" s="584"/>
      <c r="U148" s="584"/>
      <c r="V148" s="584"/>
      <c r="W148" s="592" t="s">
        <v>1024</v>
      </c>
      <c r="X148" s="1835">
        <v>4.6729208206153698</v>
      </c>
      <c r="Y148" s="1835">
        <v>2.8843745884618928</v>
      </c>
      <c r="Z148" s="1835">
        <v>7.0680302556667325</v>
      </c>
      <c r="AA148" s="1835">
        <v>0.75329864460228446</v>
      </c>
      <c r="AB148" s="1835">
        <v>13.052075644189642</v>
      </c>
      <c r="AC148" s="583"/>
    </row>
    <row r="149" spans="1:29" s="225" customFormat="1" ht="13.5" thickBot="1" x14ac:dyDescent="0.25">
      <c r="A149" s="587" t="s">
        <v>220</v>
      </c>
      <c r="B149" s="594"/>
      <c r="C149" s="2355"/>
      <c r="D149" s="2178"/>
      <c r="E149" s="1826" t="s">
        <v>1026</v>
      </c>
      <c r="F149" s="1833"/>
      <c r="G149" s="1833"/>
      <c r="H149" s="1833"/>
      <c r="I149" s="1833"/>
      <c r="J149" s="1833"/>
      <c r="K149" s="1827" t="s">
        <v>1026</v>
      </c>
      <c r="L149" s="1833">
        <v>13.798391778232451</v>
      </c>
      <c r="M149" s="1833">
        <v>13.435678855846609</v>
      </c>
      <c r="N149" s="1833">
        <v>14.384155699533135</v>
      </c>
      <c r="O149" s="1833">
        <v>8.5009088410549118</v>
      </c>
      <c r="P149" s="1834">
        <v>29.087309483955419</v>
      </c>
      <c r="Q149" s="584"/>
      <c r="R149" s="584"/>
      <c r="S149" s="584"/>
      <c r="T149" s="584"/>
      <c r="U149" s="584"/>
      <c r="V149" s="584"/>
      <c r="W149" s="1827" t="s">
        <v>1026</v>
      </c>
      <c r="X149" s="1835">
        <v>22.326879999609055</v>
      </c>
      <c r="Y149" s="1835">
        <v>25.618924046721986</v>
      </c>
      <c r="Z149" s="1835">
        <v>17.918380171035295</v>
      </c>
      <c r="AA149" s="1835">
        <v>16.975969371216944</v>
      </c>
      <c r="AB149" s="1835">
        <v>33.765765328095611</v>
      </c>
      <c r="AC149" s="597"/>
    </row>
    <row r="150" spans="1:29" ht="12.95" customHeight="1" thickBot="1" x14ac:dyDescent="0.25">
      <c r="A150" s="8" t="s">
        <v>220</v>
      </c>
      <c r="B150" s="594"/>
      <c r="C150" s="595"/>
      <c r="D150" s="774"/>
      <c r="E150" s="2359" t="s">
        <v>7</v>
      </c>
      <c r="F150" s="2033"/>
      <c r="G150" s="2033"/>
      <c r="H150" s="2033"/>
      <c r="I150" s="2033"/>
      <c r="J150" s="2033"/>
      <c r="K150" s="2033"/>
      <c r="L150" s="2033"/>
      <c r="M150" s="2033"/>
      <c r="N150" s="2033"/>
      <c r="O150" s="2033"/>
      <c r="P150" s="2033"/>
      <c r="Q150" s="2033"/>
      <c r="R150" s="2033"/>
      <c r="S150" s="2033"/>
      <c r="T150" s="2033"/>
      <c r="U150" s="2033"/>
      <c r="V150" s="2033"/>
      <c r="W150" s="2033"/>
      <c r="X150" s="2033"/>
      <c r="Y150" s="2033"/>
      <c r="Z150" s="2033"/>
      <c r="AA150" s="2033"/>
      <c r="AB150" s="2034"/>
    </row>
    <row r="151" spans="1:29" ht="12.95" customHeight="1" thickBot="1" x14ac:dyDescent="0.25">
      <c r="A151" s="8" t="s">
        <v>220</v>
      </c>
      <c r="B151" s="594"/>
      <c r="C151" s="595"/>
      <c r="D151" s="850"/>
      <c r="E151" s="1954" t="s">
        <v>1217</v>
      </c>
      <c r="F151" s="1955"/>
      <c r="G151" s="1955"/>
      <c r="H151" s="1955"/>
      <c r="I151" s="1955"/>
      <c r="J151" s="1955"/>
      <c r="K151" s="1955"/>
      <c r="L151" s="1955"/>
      <c r="M151" s="1955"/>
      <c r="N151" s="1955"/>
      <c r="O151" s="1955"/>
      <c r="P151" s="1955"/>
      <c r="Q151" s="1955"/>
      <c r="R151" s="1955"/>
      <c r="S151" s="1955"/>
      <c r="T151" s="1955"/>
      <c r="U151" s="1955"/>
      <c r="V151" s="1955"/>
      <c r="W151" s="1955"/>
      <c r="X151" s="1955"/>
      <c r="Y151" s="1955"/>
      <c r="Z151" s="1955"/>
      <c r="AA151" s="1955"/>
      <c r="AB151" s="1957"/>
    </row>
    <row r="152" spans="1:29" ht="15" customHeight="1" thickBot="1" x14ac:dyDescent="0.25">
      <c r="A152" s="8" t="s">
        <v>220</v>
      </c>
      <c r="B152" s="391"/>
      <c r="C152" s="474" t="s">
        <v>184</v>
      </c>
      <c r="D152" s="474"/>
      <c r="E152" s="1878" t="s">
        <v>161</v>
      </c>
      <c r="F152" s="1879"/>
      <c r="G152" s="1879"/>
      <c r="H152" s="1879"/>
      <c r="I152" s="1879"/>
      <c r="J152" s="1880"/>
      <c r="K152" s="1878" t="s">
        <v>327</v>
      </c>
      <c r="L152" s="1879"/>
      <c r="M152" s="1879"/>
      <c r="N152" s="1879"/>
      <c r="O152" s="1879"/>
      <c r="P152" s="1880"/>
      <c r="Q152" s="1881" t="s">
        <v>163</v>
      </c>
      <c r="R152" s="1882"/>
      <c r="S152" s="1882"/>
      <c r="T152" s="1882"/>
      <c r="U152" s="1882"/>
      <c r="V152" s="1947"/>
      <c r="W152" s="1881" t="s">
        <v>162</v>
      </c>
      <c r="X152" s="1882"/>
      <c r="Y152" s="1882"/>
      <c r="Z152" s="1882"/>
      <c r="AA152" s="1882"/>
      <c r="AB152" s="1947"/>
    </row>
    <row r="153" spans="1:29" ht="23.25" customHeight="1" x14ac:dyDescent="0.2">
      <c r="A153" s="8" t="s">
        <v>220</v>
      </c>
      <c r="B153" s="832"/>
      <c r="C153" s="2126" t="s">
        <v>1667</v>
      </c>
      <c r="D153" s="2203" t="s">
        <v>12</v>
      </c>
      <c r="E153" s="2285" t="s">
        <v>1019</v>
      </c>
      <c r="F153" s="2286"/>
      <c r="G153" s="2286"/>
      <c r="H153" s="2286"/>
      <c r="I153" s="2286"/>
      <c r="J153" s="2287"/>
      <c r="K153" s="2283" t="s">
        <v>69</v>
      </c>
      <c r="L153" s="2041"/>
      <c r="M153" s="2000">
        <v>119388</v>
      </c>
      <c r="N153" s="2000"/>
      <c r="O153" s="2000"/>
      <c r="P153" s="2001"/>
      <c r="Q153" s="1999" t="s">
        <v>69</v>
      </c>
      <c r="R153" s="1928"/>
      <c r="S153" s="2000">
        <f>SUM(Q161:V161)</f>
        <v>138347.54</v>
      </c>
      <c r="T153" s="2000"/>
      <c r="U153" s="2000"/>
      <c r="V153" s="2001"/>
      <c r="W153" s="1999" t="s">
        <v>69</v>
      </c>
      <c r="X153" s="1928"/>
      <c r="Y153" s="2000">
        <f>SUM(W161:AB161)</f>
        <v>195729.18790000002</v>
      </c>
      <c r="Z153" s="2000"/>
      <c r="AA153" s="2000"/>
      <c r="AB153" s="2001"/>
    </row>
    <row r="154" spans="1:29" ht="15" customHeight="1" x14ac:dyDescent="0.2">
      <c r="A154" s="8" t="s">
        <v>220</v>
      </c>
      <c r="B154" s="832"/>
      <c r="C154" s="2127"/>
      <c r="D154" s="2233"/>
      <c r="E154" s="2288"/>
      <c r="F154" s="2289"/>
      <c r="G154" s="2289"/>
      <c r="H154" s="2289"/>
      <c r="I154" s="2289"/>
      <c r="J154" s="2290"/>
      <c r="K154" s="1980" t="s">
        <v>70</v>
      </c>
      <c r="L154" s="1981"/>
      <c r="M154" s="1853">
        <v>129502</v>
      </c>
      <c r="N154" s="1853"/>
      <c r="O154" s="1853"/>
      <c r="P154" s="1854"/>
      <c r="Q154" s="1998" t="s">
        <v>70</v>
      </c>
      <c r="R154" s="1849"/>
      <c r="S154" s="1853">
        <f>SUM(Q162:V162)</f>
        <v>179539.30000000002</v>
      </c>
      <c r="T154" s="1853"/>
      <c r="U154" s="1853"/>
      <c r="V154" s="1854"/>
      <c r="W154" s="1998" t="s">
        <v>70</v>
      </c>
      <c r="X154" s="1849"/>
      <c r="Y154" s="1853">
        <f>SUM(W162:AB162)</f>
        <v>202666.1207</v>
      </c>
      <c r="Z154" s="1853"/>
      <c r="AA154" s="1853"/>
      <c r="AB154" s="1854"/>
    </row>
    <row r="155" spans="1:29" ht="12.95" customHeight="1" thickBot="1" x14ac:dyDescent="0.25">
      <c r="A155" s="8" t="s">
        <v>220</v>
      </c>
      <c r="B155" s="832"/>
      <c r="C155" s="2127"/>
      <c r="D155" s="669"/>
      <c r="E155" s="2291"/>
      <c r="F155" s="2292"/>
      <c r="G155" s="2292"/>
      <c r="H155" s="2292"/>
      <c r="I155" s="2292"/>
      <c r="J155" s="2293"/>
      <c r="K155" s="1867" t="s">
        <v>68</v>
      </c>
      <c r="L155" s="1868"/>
      <c r="M155" s="2024">
        <v>248890</v>
      </c>
      <c r="N155" s="1886"/>
      <c r="O155" s="1886"/>
      <c r="P155" s="1886"/>
      <c r="Q155" s="1842" t="s">
        <v>68</v>
      </c>
      <c r="R155" s="2025"/>
      <c r="S155" s="2024">
        <f>SUM(S153:V154)</f>
        <v>317886.84000000003</v>
      </c>
      <c r="T155" s="2024"/>
      <c r="U155" s="2024"/>
      <c r="V155" s="2024"/>
      <c r="W155" s="1842" t="s">
        <v>68</v>
      </c>
      <c r="X155" s="1843"/>
      <c r="Y155" s="1844">
        <f>SUM(Y153:AB154)</f>
        <v>398395.30859999999</v>
      </c>
      <c r="Z155" s="1844"/>
      <c r="AA155" s="1844"/>
      <c r="AB155" s="1845"/>
    </row>
    <row r="156" spans="1:29" ht="12.95" customHeight="1" x14ac:dyDescent="0.2">
      <c r="A156" s="8" t="s">
        <v>220</v>
      </c>
      <c r="B156" s="832"/>
      <c r="C156" s="2127"/>
      <c r="D156" s="1857" t="s">
        <v>10</v>
      </c>
      <c r="E156" s="1980" t="s">
        <v>104</v>
      </c>
      <c r="F156" s="1981"/>
      <c r="G156" s="1848">
        <f>SUM(E165:J165)</f>
        <v>111522</v>
      </c>
      <c r="H156" s="1849"/>
      <c r="I156" s="1849"/>
      <c r="J156" s="1850"/>
      <c r="K156" s="1998" t="s">
        <v>104</v>
      </c>
      <c r="L156" s="1849"/>
      <c r="M156" s="1853">
        <f>SUM(K165:P165)</f>
        <v>134318</v>
      </c>
      <c r="N156" s="1853"/>
      <c r="O156" s="1853"/>
      <c r="P156" s="1854"/>
      <c r="Q156" s="1980" t="s">
        <v>69</v>
      </c>
      <c r="R156" s="1981"/>
      <c r="S156" s="1853">
        <v>180486</v>
      </c>
      <c r="T156" s="1853"/>
      <c r="U156" s="1853"/>
      <c r="V156" s="1854"/>
      <c r="W156" s="1980" t="s">
        <v>69</v>
      </c>
      <c r="X156" s="1981"/>
      <c r="Y156" s="1855">
        <f>SUM(W165:AB165)</f>
        <v>348435</v>
      </c>
      <c r="Z156" s="1855"/>
      <c r="AA156" s="1855"/>
      <c r="AB156" s="1856"/>
    </row>
    <row r="157" spans="1:29" ht="12.95" customHeight="1" x14ac:dyDescent="0.2">
      <c r="A157" s="8" t="s">
        <v>220</v>
      </c>
      <c r="B157" s="832"/>
      <c r="C157" s="2127"/>
      <c r="D157" s="1858"/>
      <c r="E157" s="1980" t="s">
        <v>105</v>
      </c>
      <c r="F157" s="1981"/>
      <c r="G157" s="1848">
        <f>SUM(E166:J166)</f>
        <v>116609</v>
      </c>
      <c r="H157" s="1849"/>
      <c r="I157" s="1849"/>
      <c r="J157" s="1850"/>
      <c r="K157" s="1998" t="s">
        <v>105</v>
      </c>
      <c r="L157" s="1849"/>
      <c r="M157" s="1853">
        <f>SUM(K166:P166)</f>
        <v>174310</v>
      </c>
      <c r="N157" s="1853"/>
      <c r="O157" s="1853"/>
      <c r="P157" s="1854"/>
      <c r="Q157" s="1980" t="s">
        <v>70</v>
      </c>
      <c r="R157" s="1981"/>
      <c r="S157" s="1853">
        <v>197881</v>
      </c>
      <c r="T157" s="1853"/>
      <c r="U157" s="1853"/>
      <c r="V157" s="1854"/>
      <c r="W157" s="1980" t="s">
        <v>70</v>
      </c>
      <c r="X157" s="1981"/>
      <c r="Y157" s="1855">
        <f>SUM(W166:AB166)</f>
        <v>369096</v>
      </c>
      <c r="Z157" s="1855"/>
      <c r="AA157" s="1855"/>
      <c r="AB157" s="1856"/>
    </row>
    <row r="158" spans="1:29" ht="13.5" thickBot="1" x14ac:dyDescent="0.25">
      <c r="A158" s="8" t="s">
        <v>220</v>
      </c>
      <c r="B158" s="832"/>
      <c r="C158" s="2127"/>
      <c r="D158" s="1859"/>
      <c r="E158" s="1846" t="s">
        <v>103</v>
      </c>
      <c r="F158" s="1847"/>
      <c r="G158" s="1848">
        <f>SUM(G156:J157)</f>
        <v>228131</v>
      </c>
      <c r="H158" s="1849"/>
      <c r="I158" s="1849"/>
      <c r="J158" s="1850"/>
      <c r="K158" s="1851" t="s">
        <v>103</v>
      </c>
      <c r="L158" s="1852"/>
      <c r="M158" s="1853">
        <f>SUM(M156:P157)</f>
        <v>308628</v>
      </c>
      <c r="N158" s="1853"/>
      <c r="O158" s="1853"/>
      <c r="P158" s="1854"/>
      <c r="Q158" s="1846" t="s">
        <v>68</v>
      </c>
      <c r="R158" s="1847"/>
      <c r="S158" s="1853">
        <f>SUM(S156:V157)</f>
        <v>378367</v>
      </c>
      <c r="T158" s="1853"/>
      <c r="U158" s="1853"/>
      <c r="V158" s="1854"/>
      <c r="W158" s="1846" t="s">
        <v>68</v>
      </c>
      <c r="X158" s="1847"/>
      <c r="Y158" s="1855">
        <f>Y156+Y157</f>
        <v>717531</v>
      </c>
      <c r="Z158" s="1855"/>
      <c r="AA158" s="1855"/>
      <c r="AB158" s="1856"/>
    </row>
    <row r="159" spans="1:29" ht="13.5" thickBot="1" x14ac:dyDescent="0.25">
      <c r="A159" s="8" t="s">
        <v>221</v>
      </c>
      <c r="B159" s="832"/>
      <c r="C159" s="2127"/>
      <c r="D159" s="472"/>
      <c r="E159" s="785" t="s">
        <v>18</v>
      </c>
      <c r="F159" s="891" t="s">
        <v>17</v>
      </c>
      <c r="G159" s="891" t="s">
        <v>16</v>
      </c>
      <c r="H159" s="891" t="s">
        <v>15</v>
      </c>
      <c r="I159" s="891" t="s">
        <v>14</v>
      </c>
      <c r="J159" s="892" t="s">
        <v>13</v>
      </c>
      <c r="K159" s="893" t="s">
        <v>18</v>
      </c>
      <c r="L159" s="891" t="s">
        <v>17</v>
      </c>
      <c r="M159" s="894" t="s">
        <v>16</v>
      </c>
      <c r="N159" s="891" t="s">
        <v>15</v>
      </c>
      <c r="O159" s="891" t="s">
        <v>14</v>
      </c>
      <c r="P159" s="892" t="s">
        <v>13</v>
      </c>
      <c r="Q159" s="719" t="s">
        <v>18</v>
      </c>
      <c r="R159" s="377" t="s">
        <v>17</v>
      </c>
      <c r="S159" s="377" t="s">
        <v>16</v>
      </c>
      <c r="T159" s="377" t="s">
        <v>15</v>
      </c>
      <c r="U159" s="377" t="s">
        <v>14</v>
      </c>
      <c r="V159" s="378" t="s">
        <v>13</v>
      </c>
      <c r="W159" s="778" t="s">
        <v>18</v>
      </c>
      <c r="X159" s="377" t="s">
        <v>17</v>
      </c>
      <c r="Y159" s="377" t="s">
        <v>16</v>
      </c>
      <c r="Z159" s="377" t="s">
        <v>15</v>
      </c>
      <c r="AA159" s="377" t="s">
        <v>14</v>
      </c>
      <c r="AB159" s="378" t="s">
        <v>13</v>
      </c>
    </row>
    <row r="160" spans="1:29" ht="12.95" customHeight="1" x14ac:dyDescent="0.2">
      <c r="A160" s="8" t="s">
        <v>221</v>
      </c>
      <c r="B160" s="832"/>
      <c r="C160" s="2127"/>
      <c r="D160" s="472" t="s">
        <v>102</v>
      </c>
      <c r="E160" s="1860" t="s">
        <v>431</v>
      </c>
      <c r="F160" s="1860"/>
      <c r="G160" s="1860"/>
      <c r="H160" s="1860"/>
      <c r="I160" s="1860"/>
      <c r="J160" s="1861"/>
      <c r="K160" s="1860" t="s">
        <v>419</v>
      </c>
      <c r="L160" s="1860"/>
      <c r="M160" s="1860"/>
      <c r="N160" s="1860"/>
      <c r="O160" s="1860"/>
      <c r="P160" s="1860"/>
      <c r="Q160" s="1343"/>
      <c r="R160" s="1344"/>
      <c r="S160" s="1344"/>
      <c r="T160" s="1344"/>
      <c r="U160" s="1344"/>
      <c r="V160" s="1345"/>
      <c r="W160" s="764"/>
      <c r="X160" s="765"/>
      <c r="Y160" s="912"/>
      <c r="Z160" s="912"/>
      <c r="AA160" s="912"/>
      <c r="AB160" s="913"/>
    </row>
    <row r="161" spans="1:28" ht="12.95" customHeight="1" x14ac:dyDescent="0.2">
      <c r="A161" s="8" t="s">
        <v>221</v>
      </c>
      <c r="B161" s="832"/>
      <c r="C161" s="2127"/>
      <c r="D161" s="737" t="s">
        <v>69</v>
      </c>
      <c r="E161" s="1862"/>
      <c r="F161" s="1862"/>
      <c r="G161" s="1862"/>
      <c r="H161" s="1862"/>
      <c r="I161" s="1862"/>
      <c r="J161" s="1863"/>
      <c r="K161" s="1862"/>
      <c r="L161" s="1862"/>
      <c r="M161" s="1862"/>
      <c r="N161" s="1862"/>
      <c r="O161" s="1862"/>
      <c r="P161" s="1862"/>
      <c r="Q161" s="1339">
        <v>10992.16</v>
      </c>
      <c r="R161" s="1340">
        <v>8982.6299999999992</v>
      </c>
      <c r="S161" s="1340">
        <v>51936.72</v>
      </c>
      <c r="T161" s="1340">
        <v>47313.05</v>
      </c>
      <c r="U161" s="1340">
        <v>40670.58</v>
      </c>
      <c r="V161" s="1340">
        <v>-21547.599999999999</v>
      </c>
      <c r="W161" s="1350">
        <f>'9 Outcome Ind 2a Gender'!S93</f>
        <v>11321.924800000001</v>
      </c>
      <c r="X161" s="1350">
        <f>'9 Outcome Ind 2a Gender'!T93</f>
        <v>10268</v>
      </c>
      <c r="Y161" s="1350">
        <f>'9 Outcome Ind 2a Gender'!U93</f>
        <v>53494.821600000003</v>
      </c>
      <c r="Z161" s="1350">
        <f>'9 Outcome Ind 2a Gender'!V93</f>
        <v>48732.441500000001</v>
      </c>
      <c r="AA161" s="1350">
        <f>'9 Outcome Ind 2a Gender'!W93</f>
        <v>49145</v>
      </c>
      <c r="AB161" s="1767">
        <f>'9 Outcome Ind 2a Gender'!X93</f>
        <v>22767</v>
      </c>
    </row>
    <row r="162" spans="1:28" ht="12.95" customHeight="1" x14ac:dyDescent="0.2">
      <c r="A162" s="8" t="s">
        <v>221</v>
      </c>
      <c r="B162" s="832"/>
      <c r="C162" s="2127"/>
      <c r="D162" s="833" t="s">
        <v>70</v>
      </c>
      <c r="E162" s="1862"/>
      <c r="F162" s="1862"/>
      <c r="G162" s="1862"/>
      <c r="H162" s="1862"/>
      <c r="I162" s="1862"/>
      <c r="J162" s="1863"/>
      <c r="K162" s="1862"/>
      <c r="L162" s="1862"/>
      <c r="M162" s="1862"/>
      <c r="N162" s="1862"/>
      <c r="O162" s="1862"/>
      <c r="P162" s="1862"/>
      <c r="Q162" s="1339">
        <v>8855.94</v>
      </c>
      <c r="R162" s="1340">
        <v>24237.96</v>
      </c>
      <c r="S162" s="1340">
        <v>42047.69</v>
      </c>
      <c r="T162" s="1340">
        <v>52566.05</v>
      </c>
      <c r="U162" s="1340">
        <v>41176.31</v>
      </c>
      <c r="V162" s="1340">
        <v>10655.35</v>
      </c>
      <c r="W162" s="1350">
        <f>'9 Outcome Ind 2a Gender'!S94</f>
        <v>10389</v>
      </c>
      <c r="X162" s="1350">
        <f>'9 Outcome Ind 2a Gender'!T94</f>
        <v>24505</v>
      </c>
      <c r="Y162" s="1350">
        <f>'9 Outcome Ind 2a Gender'!U94</f>
        <v>43309.120699999999</v>
      </c>
      <c r="Z162" s="1350">
        <f>'9 Outcome Ind 2a Gender'!V94</f>
        <v>54989</v>
      </c>
      <c r="AA162" s="1350">
        <f>'9 Outcome Ind 2a Gender'!W94</f>
        <v>48962</v>
      </c>
      <c r="AB162" s="1767">
        <f>'9 Outcome Ind 2a Gender'!X94</f>
        <v>20512</v>
      </c>
    </row>
    <row r="163" spans="1:28" ht="12.95" customHeight="1" thickBot="1" x14ac:dyDescent="0.25">
      <c r="A163" s="8" t="s">
        <v>221</v>
      </c>
      <c r="B163" s="832"/>
      <c r="C163" s="2127"/>
      <c r="D163" s="737" t="s">
        <v>68</v>
      </c>
      <c r="E163" s="1862"/>
      <c r="F163" s="1862"/>
      <c r="G163" s="1862"/>
      <c r="H163" s="1862"/>
      <c r="I163" s="1862"/>
      <c r="J163" s="1863"/>
      <c r="K163" s="1862"/>
      <c r="L163" s="1862"/>
      <c r="M163" s="1862"/>
      <c r="N163" s="1862"/>
      <c r="O163" s="1862"/>
      <c r="P163" s="1862"/>
      <c r="Q163" s="1341">
        <f>SUM(Q161:Q162)</f>
        <v>19848.099999999999</v>
      </c>
      <c r="R163" s="1342">
        <f t="shared" ref="R163:V163" si="0">SUM(R161:R162)</f>
        <v>33220.589999999997</v>
      </c>
      <c r="S163" s="1342">
        <f t="shared" si="0"/>
        <v>93984.41</v>
      </c>
      <c r="T163" s="1342">
        <f t="shared" si="0"/>
        <v>99879.1</v>
      </c>
      <c r="U163" s="1342">
        <f t="shared" si="0"/>
        <v>81846.89</v>
      </c>
      <c r="V163" s="1342">
        <f t="shared" si="0"/>
        <v>-10892.249999999998</v>
      </c>
      <c r="W163" s="1766">
        <f>SUM(W161:W162)</f>
        <v>21710.924800000001</v>
      </c>
      <c r="X163" s="1766">
        <f t="shared" ref="X163:AB163" si="1">SUM(X161:X162)</f>
        <v>34773</v>
      </c>
      <c r="Y163" s="1766">
        <f t="shared" si="1"/>
        <v>96803.942299999995</v>
      </c>
      <c r="Z163" s="1766">
        <f t="shared" si="1"/>
        <v>103721.4415</v>
      </c>
      <c r="AA163" s="1766">
        <f t="shared" si="1"/>
        <v>98107</v>
      </c>
      <c r="AB163" s="1768">
        <f t="shared" si="1"/>
        <v>43279</v>
      </c>
    </row>
    <row r="164" spans="1:28" ht="12.95" customHeight="1" x14ac:dyDescent="0.2">
      <c r="A164" s="8" t="s">
        <v>221</v>
      </c>
      <c r="B164" s="832"/>
      <c r="C164" s="2128"/>
      <c r="D164" s="836" t="s">
        <v>10</v>
      </c>
      <c r="E164" s="935" t="s">
        <v>1019</v>
      </c>
      <c r="F164" s="765"/>
      <c r="G164" s="912"/>
      <c r="H164" s="765"/>
      <c r="I164" s="765"/>
      <c r="J164" s="765"/>
      <c r="K164" s="782"/>
      <c r="L164" s="829"/>
      <c r="M164" s="1054"/>
      <c r="N164" s="1055"/>
      <c r="O164" s="1055"/>
      <c r="P164" s="1056"/>
      <c r="Q164" s="771"/>
      <c r="R164" s="771"/>
      <c r="S164" s="776"/>
      <c r="T164" s="776"/>
      <c r="U164" s="776"/>
      <c r="V164" s="776"/>
      <c r="W164" s="770"/>
      <c r="X164" s="771"/>
      <c r="Y164" s="776"/>
      <c r="Z164" s="776"/>
      <c r="AA164" s="776"/>
      <c r="AB164" s="777"/>
    </row>
    <row r="165" spans="1:28" ht="12.95" customHeight="1" x14ac:dyDescent="0.2">
      <c r="A165" s="8" t="s">
        <v>221</v>
      </c>
      <c r="B165" s="832"/>
      <c r="C165" s="2128"/>
      <c r="D165" s="396" t="s">
        <v>69</v>
      </c>
      <c r="E165" s="766">
        <v>6321</v>
      </c>
      <c r="F165" s="767">
        <v>7634</v>
      </c>
      <c r="G165" s="775">
        <v>18576</v>
      </c>
      <c r="H165" s="767">
        <v>19665</v>
      </c>
      <c r="I165" s="767">
        <v>50647</v>
      </c>
      <c r="J165" s="767">
        <v>8679</v>
      </c>
      <c r="K165" s="396">
        <v>10672</v>
      </c>
      <c r="L165" s="780">
        <v>8721</v>
      </c>
      <c r="M165" s="1051">
        <v>50424</v>
      </c>
      <c r="N165" s="1051">
        <v>45935</v>
      </c>
      <c r="O165" s="1051">
        <v>39486</v>
      </c>
      <c r="P165" s="1052">
        <v>-20920</v>
      </c>
      <c r="Q165" s="1053">
        <v>10618</v>
      </c>
      <c r="R165" s="1053">
        <v>10268</v>
      </c>
      <c r="S165" s="1053">
        <v>42792</v>
      </c>
      <c r="T165" s="1053">
        <v>44896</v>
      </c>
      <c r="U165" s="1053">
        <v>49145</v>
      </c>
      <c r="V165" s="1053">
        <v>22767</v>
      </c>
      <c r="W165" s="397">
        <f>'9 Outcome Ind 2a Gender'!I99</f>
        <v>-21601</v>
      </c>
      <c r="X165" s="397">
        <f>'9 Outcome Ind 2a Gender'!J99</f>
        <v>47182</v>
      </c>
      <c r="Y165" s="397">
        <f>'9 Outcome Ind 2a Gender'!K99</f>
        <v>177225</v>
      </c>
      <c r="Z165" s="397">
        <f>'9 Outcome Ind 2a Gender'!L99</f>
        <v>78952</v>
      </c>
      <c r="AA165" s="397">
        <f>'9 Outcome Ind 2a Gender'!M99</f>
        <v>46357</v>
      </c>
      <c r="AB165" s="397">
        <f>'9 Outcome Ind 2a Gender'!N99</f>
        <v>20320</v>
      </c>
    </row>
    <row r="166" spans="1:28" ht="12.95" customHeight="1" x14ac:dyDescent="0.2">
      <c r="A166" s="8" t="s">
        <v>221</v>
      </c>
      <c r="B166" s="832"/>
      <c r="C166" s="2128"/>
      <c r="D166" s="830" t="s">
        <v>70</v>
      </c>
      <c r="E166" s="766">
        <v>5476</v>
      </c>
      <c r="F166" s="767">
        <v>17240</v>
      </c>
      <c r="G166" s="775">
        <v>13098</v>
      </c>
      <c r="H166" s="767">
        <v>21601</v>
      </c>
      <c r="I166" s="767">
        <v>52347</v>
      </c>
      <c r="J166" s="767">
        <v>6847</v>
      </c>
      <c r="K166" s="396">
        <v>8598</v>
      </c>
      <c r="L166" s="780">
        <v>23532</v>
      </c>
      <c r="M166" s="1051">
        <v>40823</v>
      </c>
      <c r="N166" s="1051">
        <v>51035</v>
      </c>
      <c r="O166" s="1051">
        <v>39977</v>
      </c>
      <c r="P166" s="1052">
        <v>10345</v>
      </c>
      <c r="Q166" s="1364">
        <v>10389</v>
      </c>
      <c r="R166" s="1364">
        <v>24505</v>
      </c>
      <c r="S166" s="1364">
        <v>38539</v>
      </c>
      <c r="T166" s="1364">
        <v>54989</v>
      </c>
      <c r="U166" s="1364">
        <v>48962</v>
      </c>
      <c r="V166" s="1364">
        <v>20512</v>
      </c>
      <c r="W166" s="397">
        <f>'9 Outcome Ind 2a Gender'!I100</f>
        <v>-22447</v>
      </c>
      <c r="X166" s="397">
        <f>'9 Outcome Ind 2a Gender'!J100</f>
        <v>59381</v>
      </c>
      <c r="Y166" s="397">
        <f>'9 Outcome Ind 2a Gender'!K100</f>
        <v>175819</v>
      </c>
      <c r="Z166" s="397">
        <f>'9 Outcome Ind 2a Gender'!L100</f>
        <v>94996</v>
      </c>
      <c r="AA166" s="397">
        <f>'9 Outcome Ind 2a Gender'!M100</f>
        <v>44631</v>
      </c>
      <c r="AB166" s="397">
        <f>'9 Outcome Ind 2a Gender'!N100</f>
        <v>16716</v>
      </c>
    </row>
    <row r="167" spans="1:28" ht="12.95" customHeight="1" thickBot="1" x14ac:dyDescent="0.25">
      <c r="A167" s="8" t="s">
        <v>221</v>
      </c>
      <c r="B167" s="832"/>
      <c r="C167" s="834"/>
      <c r="D167" s="828" t="s">
        <v>68</v>
      </c>
      <c r="E167" s="781">
        <f>SUM(E165:E166)</f>
        <v>11797</v>
      </c>
      <c r="F167" s="1050">
        <f t="shared" ref="F167:J167" si="2">SUM(F165:F166)</f>
        <v>24874</v>
      </c>
      <c r="G167" s="1050">
        <f t="shared" si="2"/>
        <v>31674</v>
      </c>
      <c r="H167" s="1050">
        <f t="shared" si="2"/>
        <v>41266</v>
      </c>
      <c r="I167" s="1050">
        <f t="shared" si="2"/>
        <v>102994</v>
      </c>
      <c r="J167" s="1050">
        <f t="shared" si="2"/>
        <v>15526</v>
      </c>
      <c r="K167" s="828">
        <f>SUM(K165:K166)</f>
        <v>19270</v>
      </c>
      <c r="L167" s="994">
        <f t="shared" ref="L167:P167" si="3">SUM(L165:L166)</f>
        <v>32253</v>
      </c>
      <c r="M167" s="1057">
        <f t="shared" si="3"/>
        <v>91247</v>
      </c>
      <c r="N167" s="1057">
        <f t="shared" si="3"/>
        <v>96970</v>
      </c>
      <c r="O167" s="1057">
        <f t="shared" si="3"/>
        <v>79463</v>
      </c>
      <c r="P167" s="1058">
        <f t="shared" si="3"/>
        <v>-10575</v>
      </c>
      <c r="Q167" s="1365">
        <f>SUM(Q165:Q166)</f>
        <v>21007</v>
      </c>
      <c r="R167" s="1365">
        <f t="shared" ref="R167:V167" si="4">SUM(R165:R166)</f>
        <v>34773</v>
      </c>
      <c r="S167" s="1365">
        <f t="shared" si="4"/>
        <v>81331</v>
      </c>
      <c r="T167" s="1365">
        <f t="shared" si="4"/>
        <v>99885</v>
      </c>
      <c r="U167" s="1365">
        <f t="shared" si="4"/>
        <v>98107</v>
      </c>
      <c r="V167" s="1365">
        <f t="shared" si="4"/>
        <v>43279</v>
      </c>
      <c r="W167" s="397">
        <f>SUM(W165:W166)</f>
        <v>-44048</v>
      </c>
      <c r="X167" s="397">
        <f t="shared" ref="X167:AB167" si="5">SUM(X165:X166)</f>
        <v>106563</v>
      </c>
      <c r="Y167" s="397">
        <f t="shared" si="5"/>
        <v>353044</v>
      </c>
      <c r="Z167" s="397">
        <f t="shared" si="5"/>
        <v>173948</v>
      </c>
      <c r="AA167" s="397">
        <f t="shared" si="5"/>
        <v>90988</v>
      </c>
      <c r="AB167" s="397">
        <f t="shared" si="5"/>
        <v>37036</v>
      </c>
    </row>
    <row r="168" spans="1:28" ht="12.95" customHeight="1" thickBot="1" x14ac:dyDescent="0.25">
      <c r="A168" s="8" t="s">
        <v>220</v>
      </c>
      <c r="B168" s="379"/>
      <c r="C168" s="2357" t="s">
        <v>1666</v>
      </c>
      <c r="D168" s="4"/>
      <c r="E168" s="2019" t="s">
        <v>315</v>
      </c>
      <c r="F168" s="2020"/>
      <c r="G168" s="2020"/>
      <c r="H168" s="2020"/>
      <c r="I168" s="2020"/>
      <c r="J168" s="2021"/>
      <c r="K168" s="2197" t="s">
        <v>328</v>
      </c>
      <c r="L168" s="2351"/>
      <c r="M168" s="2351"/>
      <c r="N168" s="2351"/>
      <c r="O168" s="2351"/>
      <c r="P168" s="2352"/>
      <c r="Q168" s="2294">
        <v>2015</v>
      </c>
      <c r="R168" s="2295"/>
      <c r="S168" s="2295"/>
      <c r="T168" s="2295"/>
      <c r="U168" s="2295"/>
      <c r="V168" s="2296"/>
      <c r="W168" s="2294">
        <v>2016</v>
      </c>
      <c r="X168" s="2295"/>
      <c r="Y168" s="2295"/>
      <c r="Z168" s="2295"/>
      <c r="AA168" s="2295"/>
      <c r="AB168" s="2296"/>
    </row>
    <row r="169" spans="1:28" ht="12.95" customHeight="1" x14ac:dyDescent="0.2">
      <c r="A169" s="8" t="s">
        <v>220</v>
      </c>
      <c r="B169" s="379"/>
      <c r="C169" s="2358"/>
      <c r="D169" s="2203" t="s">
        <v>12</v>
      </c>
      <c r="E169" s="2154" t="s">
        <v>69</v>
      </c>
      <c r="F169" s="1860"/>
      <c r="G169" s="1860" t="s">
        <v>433</v>
      </c>
      <c r="H169" s="1860"/>
      <c r="I169" s="1860"/>
      <c r="J169" s="1860"/>
      <c r="K169" s="2154"/>
      <c r="L169" s="1860"/>
      <c r="M169" s="2284" t="s">
        <v>432</v>
      </c>
      <c r="N169" s="2284"/>
      <c r="O169" s="2284"/>
      <c r="P169" s="841"/>
      <c r="Q169" s="2283" t="s">
        <v>69</v>
      </c>
      <c r="R169" s="2041"/>
      <c r="S169" s="2095">
        <v>3430</v>
      </c>
      <c r="T169" s="2095"/>
      <c r="U169" s="2095"/>
      <c r="V169" s="2096"/>
      <c r="W169" s="2283" t="s">
        <v>69</v>
      </c>
      <c r="X169" s="2041"/>
      <c r="Y169" s="2095">
        <v>3601</v>
      </c>
      <c r="Z169" s="2095"/>
      <c r="AA169" s="2095"/>
      <c r="AB169" s="2096"/>
    </row>
    <row r="170" spans="1:28" ht="12.95" customHeight="1" x14ac:dyDescent="0.2">
      <c r="A170" s="8" t="s">
        <v>220</v>
      </c>
      <c r="B170" s="379"/>
      <c r="C170" s="2358"/>
      <c r="D170" s="2233"/>
      <c r="E170" s="2022" t="s">
        <v>70</v>
      </c>
      <c r="F170" s="1862"/>
      <c r="G170" s="1862"/>
      <c r="H170" s="1862"/>
      <c r="I170" s="1862"/>
      <c r="J170" s="1862"/>
      <c r="K170" s="2022"/>
      <c r="L170" s="1862"/>
      <c r="M170" s="840"/>
      <c r="N170" s="839"/>
      <c r="O170" s="839"/>
      <c r="P170" s="842"/>
      <c r="Q170" s="1980" t="s">
        <v>70</v>
      </c>
      <c r="R170" s="1981"/>
      <c r="S170" s="1855">
        <v>2772</v>
      </c>
      <c r="T170" s="1855"/>
      <c r="U170" s="1855"/>
      <c r="V170" s="1856"/>
      <c r="W170" s="1980" t="s">
        <v>70</v>
      </c>
      <c r="X170" s="1981"/>
      <c r="Y170" s="1855">
        <v>2911</v>
      </c>
      <c r="Z170" s="1855"/>
      <c r="AA170" s="1855"/>
      <c r="AB170" s="1856"/>
    </row>
    <row r="171" spans="1:28" ht="12.95" customHeight="1" thickBot="1" x14ac:dyDescent="0.25">
      <c r="A171" s="8" t="s">
        <v>220</v>
      </c>
      <c r="B171" s="379"/>
      <c r="C171" s="2358"/>
      <c r="D171" s="2360"/>
      <c r="E171" s="1864" t="s">
        <v>68</v>
      </c>
      <c r="F171" s="1865"/>
      <c r="G171" s="1866"/>
      <c r="H171" s="1866"/>
      <c r="I171" s="1866"/>
      <c r="J171" s="1866"/>
      <c r="K171" s="1864"/>
      <c r="L171" s="1865"/>
      <c r="M171" s="843"/>
      <c r="N171" s="844"/>
      <c r="O171" s="844"/>
      <c r="P171" s="845"/>
      <c r="Q171" s="1867" t="s">
        <v>68</v>
      </c>
      <c r="R171" s="1868"/>
      <c r="S171" s="1869">
        <v>6201</v>
      </c>
      <c r="T171" s="1869"/>
      <c r="U171" s="1869"/>
      <c r="V171" s="1870"/>
      <c r="W171" s="1867" t="s">
        <v>68</v>
      </c>
      <c r="X171" s="1868"/>
      <c r="Y171" s="1869">
        <v>6511</v>
      </c>
      <c r="Z171" s="1869"/>
      <c r="AA171" s="1869"/>
      <c r="AB171" s="1870"/>
    </row>
    <row r="172" spans="1:28" ht="12.95" customHeight="1" x14ac:dyDescent="0.2">
      <c r="A172" s="8" t="s">
        <v>220</v>
      </c>
      <c r="B172" s="379"/>
      <c r="C172" s="2357"/>
      <c r="D172" s="2203" t="s">
        <v>10</v>
      </c>
      <c r="E172" s="2154"/>
      <c r="F172" s="1860"/>
      <c r="G172" s="1860" t="s">
        <v>433</v>
      </c>
      <c r="H172" s="1860"/>
      <c r="I172" s="1860"/>
      <c r="J172" s="1860"/>
      <c r="K172" s="1980" t="s">
        <v>104</v>
      </c>
      <c r="L172" s="1981"/>
      <c r="M172" s="1948">
        <v>3266</v>
      </c>
      <c r="N172" s="1981"/>
      <c r="O172" s="1981"/>
      <c r="P172" s="2142"/>
      <c r="Q172" s="1980" t="s">
        <v>69</v>
      </c>
      <c r="R172" s="1981"/>
      <c r="S172" s="1853">
        <f>SUM(Q181:V181)</f>
        <v>-456</v>
      </c>
      <c r="T172" s="1853"/>
      <c r="U172" s="1853"/>
      <c r="V172" s="1854"/>
      <c r="W172" s="1980" t="s">
        <v>69</v>
      </c>
      <c r="X172" s="1981"/>
      <c r="Y172" s="2095">
        <f>SUM(W181:AB181)</f>
        <v>3597</v>
      </c>
      <c r="Z172" s="2095"/>
      <c r="AA172" s="2095"/>
      <c r="AB172" s="2096"/>
    </row>
    <row r="173" spans="1:28" ht="12.95" customHeight="1" x14ac:dyDescent="0.2">
      <c r="A173" s="8" t="s">
        <v>220</v>
      </c>
      <c r="B173" s="379"/>
      <c r="C173" s="2357"/>
      <c r="D173" s="2233"/>
      <c r="E173" s="2022"/>
      <c r="F173" s="1862"/>
      <c r="G173" s="1862"/>
      <c r="H173" s="1862"/>
      <c r="I173" s="1862"/>
      <c r="J173" s="1862"/>
      <c r="K173" s="1980" t="s">
        <v>105</v>
      </c>
      <c r="L173" s="1981"/>
      <c r="M173" s="1948">
        <v>2640</v>
      </c>
      <c r="N173" s="1981"/>
      <c r="O173" s="1981"/>
      <c r="P173" s="2142"/>
      <c r="Q173" s="1980" t="s">
        <v>70</v>
      </c>
      <c r="R173" s="1981"/>
      <c r="S173" s="1853">
        <f>SUM(Q182:V182)</f>
        <v>-1242</v>
      </c>
      <c r="T173" s="1853"/>
      <c r="U173" s="1853"/>
      <c r="V173" s="1854"/>
      <c r="W173" s="1980" t="s">
        <v>70</v>
      </c>
      <c r="X173" s="1981"/>
      <c r="Y173" s="1855">
        <f t="shared" ref="Y173:Y174" si="6">SUM(W182:AB182)</f>
        <v>2738</v>
      </c>
      <c r="Z173" s="1855"/>
      <c r="AA173" s="1855"/>
      <c r="AB173" s="1856"/>
    </row>
    <row r="174" spans="1:28" ht="12.95" customHeight="1" thickBot="1" x14ac:dyDescent="0.25">
      <c r="A174" s="8" t="s">
        <v>220</v>
      </c>
      <c r="B174" s="379"/>
      <c r="C174" s="2357"/>
      <c r="D174" s="2360"/>
      <c r="E174" s="1864"/>
      <c r="F174" s="1865"/>
      <c r="G174" s="1866"/>
      <c r="H174" s="1866"/>
      <c r="I174" s="1866"/>
      <c r="J174" s="1866"/>
      <c r="K174" s="1846" t="s">
        <v>103</v>
      </c>
      <c r="L174" s="1847"/>
      <c r="M174" s="1948" t="s">
        <v>314</v>
      </c>
      <c r="N174" s="1981"/>
      <c r="O174" s="1981"/>
      <c r="P174" s="2142"/>
      <c r="Q174" s="1846" t="s">
        <v>68</v>
      </c>
      <c r="R174" s="1847"/>
      <c r="S174" s="1853">
        <f>SUM(Q183:V183)</f>
        <v>-1698</v>
      </c>
      <c r="T174" s="1853"/>
      <c r="U174" s="1853"/>
      <c r="V174" s="1854"/>
      <c r="W174" s="1846" t="s">
        <v>68</v>
      </c>
      <c r="X174" s="1847"/>
      <c r="Y174" s="1869">
        <f t="shared" si="6"/>
        <v>6335</v>
      </c>
      <c r="Z174" s="1869"/>
      <c r="AA174" s="1869"/>
      <c r="AB174" s="1870"/>
    </row>
    <row r="175" spans="1:28" ht="12.95" customHeight="1" thickBot="1" x14ac:dyDescent="0.25">
      <c r="A175" s="8" t="s">
        <v>221</v>
      </c>
      <c r="B175" s="379"/>
      <c r="C175" s="2357"/>
      <c r="D175" s="831"/>
      <c r="E175" s="720" t="s">
        <v>18</v>
      </c>
      <c r="F175" s="377" t="s">
        <v>17</v>
      </c>
      <c r="G175" s="377" t="s">
        <v>16</v>
      </c>
      <c r="H175" s="377" t="s">
        <v>15</v>
      </c>
      <c r="I175" s="377" t="s">
        <v>14</v>
      </c>
      <c r="J175" s="378" t="s">
        <v>13</v>
      </c>
      <c r="K175" s="893" t="s">
        <v>18</v>
      </c>
      <c r="L175" s="891" t="s">
        <v>17</v>
      </c>
      <c r="M175" s="894" t="s">
        <v>16</v>
      </c>
      <c r="N175" s="891" t="s">
        <v>15</v>
      </c>
      <c r="O175" s="891" t="s">
        <v>14</v>
      </c>
      <c r="P175" s="892" t="s">
        <v>13</v>
      </c>
      <c r="Q175" s="778" t="s">
        <v>18</v>
      </c>
      <c r="R175" s="377" t="s">
        <v>17</v>
      </c>
      <c r="S175" s="377" t="s">
        <v>16</v>
      </c>
      <c r="T175" s="377" t="s">
        <v>15</v>
      </c>
      <c r="U175" s="377" t="s">
        <v>14</v>
      </c>
      <c r="V175" s="378" t="s">
        <v>13</v>
      </c>
      <c r="W175" s="893" t="s">
        <v>18</v>
      </c>
      <c r="X175" s="891" t="s">
        <v>17</v>
      </c>
      <c r="Y175" s="891" t="s">
        <v>16</v>
      </c>
      <c r="Z175" s="891" t="s">
        <v>15</v>
      </c>
      <c r="AA175" s="891" t="s">
        <v>14</v>
      </c>
      <c r="AB175" s="892" t="s">
        <v>13</v>
      </c>
    </row>
    <row r="176" spans="1:28" ht="12.95" customHeight="1" x14ac:dyDescent="0.2">
      <c r="A176" s="8" t="s">
        <v>221</v>
      </c>
      <c r="B176" s="379"/>
      <c r="C176" s="2358"/>
      <c r="D176" s="701" t="s">
        <v>102</v>
      </c>
      <c r="E176" s="2461" t="s">
        <v>432</v>
      </c>
      <c r="F176" s="2462"/>
      <c r="G176" s="2462"/>
      <c r="H176" s="2462"/>
      <c r="I176" s="2462"/>
      <c r="J176" s="2463"/>
      <c r="K176" s="2356" t="s">
        <v>309</v>
      </c>
      <c r="L176" s="2356"/>
      <c r="M176" s="2356"/>
      <c r="N176" s="2356"/>
      <c r="O176" s="2356"/>
      <c r="P176" s="2356"/>
      <c r="Q176" s="782"/>
      <c r="R176" s="829"/>
      <c r="S176" s="837"/>
      <c r="T176" s="837"/>
      <c r="U176" s="837"/>
      <c r="V176" s="838"/>
      <c r="W176" s="686"/>
      <c r="X176" s="686"/>
      <c r="Y176" s="693"/>
      <c r="Z176" s="693"/>
      <c r="AA176" s="693"/>
      <c r="AB176" s="748"/>
    </row>
    <row r="177" spans="1:28" ht="12.95" customHeight="1" x14ac:dyDescent="0.2">
      <c r="A177" s="8" t="s">
        <v>221</v>
      </c>
      <c r="B177" s="379"/>
      <c r="C177" s="2358"/>
      <c r="D177" s="396" t="s">
        <v>69</v>
      </c>
      <c r="E177" s="2464"/>
      <c r="F177" s="1996"/>
      <c r="G177" s="1996"/>
      <c r="H177" s="1996"/>
      <c r="I177" s="1996"/>
      <c r="J177" s="1997"/>
      <c r="K177" s="684"/>
      <c r="L177" s="684"/>
      <c r="M177" s="709"/>
      <c r="N177" s="684"/>
      <c r="O177" s="684"/>
      <c r="P177" s="684"/>
      <c r="Q177" s="396">
        <v>77</v>
      </c>
      <c r="R177" s="780">
        <v>315</v>
      </c>
      <c r="S177" s="772">
        <v>408</v>
      </c>
      <c r="T177" s="772">
        <v>1209</v>
      </c>
      <c r="U177" s="772">
        <v>275</v>
      </c>
      <c r="V177" s="773">
        <v>1146</v>
      </c>
      <c r="W177" s="816">
        <v>81</v>
      </c>
      <c r="X177" s="372">
        <v>331</v>
      </c>
      <c r="Y177" s="397">
        <v>428</v>
      </c>
      <c r="Z177" s="397">
        <v>1269</v>
      </c>
      <c r="AA177" s="397">
        <v>289</v>
      </c>
      <c r="AB177" s="420">
        <v>1203</v>
      </c>
    </row>
    <row r="178" spans="1:28" ht="12.95" customHeight="1" x14ac:dyDescent="0.2">
      <c r="A178" s="8" t="s">
        <v>221</v>
      </c>
      <c r="B178" s="379"/>
      <c r="C178" s="2358"/>
      <c r="D178" s="830" t="s">
        <v>70</v>
      </c>
      <c r="E178" s="2464"/>
      <c r="F178" s="1996"/>
      <c r="G178" s="1996"/>
      <c r="H178" s="1996"/>
      <c r="I178" s="1996"/>
      <c r="J178" s="1997"/>
      <c r="K178" s="684"/>
      <c r="L178" s="684"/>
      <c r="M178" s="709"/>
      <c r="N178" s="684"/>
      <c r="O178" s="684"/>
      <c r="P178" s="684"/>
      <c r="Q178" s="396">
        <v>25</v>
      </c>
      <c r="R178" s="780">
        <v>139</v>
      </c>
      <c r="S178" s="772">
        <v>373</v>
      </c>
      <c r="T178" s="772">
        <v>794</v>
      </c>
      <c r="U178" s="772">
        <v>214</v>
      </c>
      <c r="V178" s="773">
        <v>1227</v>
      </c>
      <c r="W178" s="816">
        <v>26</v>
      </c>
      <c r="X178" s="372">
        <v>146</v>
      </c>
      <c r="Y178" s="397">
        <v>392</v>
      </c>
      <c r="Z178" s="397">
        <v>834</v>
      </c>
      <c r="AA178" s="397">
        <v>225</v>
      </c>
      <c r="AB178" s="420">
        <v>1288</v>
      </c>
    </row>
    <row r="179" spans="1:28" ht="12.95" customHeight="1" thickBot="1" x14ac:dyDescent="0.25">
      <c r="A179" s="8" t="s">
        <v>221</v>
      </c>
      <c r="B179" s="379"/>
      <c r="C179" s="2358"/>
      <c r="D179" s="396" t="s">
        <v>68</v>
      </c>
      <c r="E179" s="2464"/>
      <c r="F179" s="1996"/>
      <c r="G179" s="1996"/>
      <c r="H179" s="1996"/>
      <c r="I179" s="1996"/>
      <c r="J179" s="1997"/>
      <c r="K179" s="684"/>
      <c r="L179" s="684"/>
      <c r="M179" s="709"/>
      <c r="N179" s="684"/>
      <c r="O179" s="684"/>
      <c r="P179" s="684"/>
      <c r="Q179" s="396">
        <v>102</v>
      </c>
      <c r="R179" s="780">
        <v>95</v>
      </c>
      <c r="S179" s="772">
        <v>781</v>
      </c>
      <c r="T179" s="772">
        <v>2002</v>
      </c>
      <c r="U179" s="772">
        <v>489</v>
      </c>
      <c r="V179" s="773">
        <v>2373</v>
      </c>
      <c r="W179" s="817">
        <v>107</v>
      </c>
      <c r="X179" s="376">
        <v>118</v>
      </c>
      <c r="Y179" s="433">
        <v>820</v>
      </c>
      <c r="Z179" s="433">
        <v>2102</v>
      </c>
      <c r="AA179" s="433">
        <v>513</v>
      </c>
      <c r="AB179" s="436">
        <v>2492</v>
      </c>
    </row>
    <row r="180" spans="1:28" ht="12.95" customHeight="1" x14ac:dyDescent="0.2">
      <c r="A180" s="8" t="s">
        <v>221</v>
      </c>
      <c r="B180" s="379"/>
      <c r="C180" s="2358"/>
      <c r="D180" s="836" t="s">
        <v>10</v>
      </c>
      <c r="E180" s="2154"/>
      <c r="F180" s="1860"/>
      <c r="G180" s="1860"/>
      <c r="H180" s="1860"/>
      <c r="I180" s="1860"/>
      <c r="J180" s="1861"/>
      <c r="K180" s="1928" t="s">
        <v>983</v>
      </c>
      <c r="L180" s="1928"/>
      <c r="M180" s="1928"/>
      <c r="N180" s="1928"/>
      <c r="O180" s="1928"/>
      <c r="P180" s="1928"/>
      <c r="Q180" s="782"/>
      <c r="R180" s="829"/>
      <c r="S180" s="837"/>
      <c r="T180" s="837"/>
      <c r="U180" s="837"/>
      <c r="V180" s="838"/>
      <c r="W180" s="782"/>
      <c r="X180" s="829"/>
      <c r="Y180" s="837"/>
      <c r="Z180" s="837"/>
      <c r="AA180" s="837"/>
      <c r="AB180" s="838"/>
    </row>
    <row r="181" spans="1:28" ht="12.95" customHeight="1" x14ac:dyDescent="0.2">
      <c r="A181" s="8" t="s">
        <v>221</v>
      </c>
      <c r="B181" s="379"/>
      <c r="C181" s="2358"/>
      <c r="D181" s="396" t="s">
        <v>69</v>
      </c>
      <c r="E181" s="2022"/>
      <c r="F181" s="1862"/>
      <c r="G181" s="1862"/>
      <c r="H181" s="1862"/>
      <c r="I181" s="1862"/>
      <c r="J181" s="1863"/>
      <c r="K181" s="768">
        <v>73</v>
      </c>
      <c r="L181" s="768">
        <v>300</v>
      </c>
      <c r="M181" s="779">
        <v>389</v>
      </c>
      <c r="N181" s="768">
        <v>1151</v>
      </c>
      <c r="O181" s="768">
        <v>262</v>
      </c>
      <c r="P181" s="768">
        <v>1091</v>
      </c>
      <c r="Q181" s="1333">
        <v>-65</v>
      </c>
      <c r="R181" s="1332">
        <v>961</v>
      </c>
      <c r="S181" s="1332">
        <v>-26</v>
      </c>
      <c r="T181" s="1332">
        <v>-1491</v>
      </c>
      <c r="U181" s="1332">
        <v>-74</v>
      </c>
      <c r="V181" s="1142">
        <v>239</v>
      </c>
      <c r="W181" s="816">
        <f>'16 Outcome Ind 2a Dis. Results'!J61</f>
        <v>34</v>
      </c>
      <c r="X181" s="372">
        <f>'16 Outcome Ind 2a Dis. Results'!J62</f>
        <v>448</v>
      </c>
      <c r="Y181" s="397">
        <f>'16 Outcome Ind 2a Dis. Results'!J63</f>
        <v>799</v>
      </c>
      <c r="Z181" s="397">
        <f>'16 Outcome Ind 2a Dis. Results'!J64</f>
        <v>762</v>
      </c>
      <c r="AA181" s="397">
        <f>'16 Outcome Ind 2a Dis. Results'!J65</f>
        <v>431</v>
      </c>
      <c r="AB181" s="420">
        <f>'16 Outcome Ind 2a Dis. Results'!J66</f>
        <v>1123</v>
      </c>
    </row>
    <row r="182" spans="1:28" ht="12.95" customHeight="1" x14ac:dyDescent="0.2">
      <c r="A182" s="8" t="s">
        <v>221</v>
      </c>
      <c r="B182" s="379"/>
      <c r="C182" s="728"/>
      <c r="D182" s="830" t="s">
        <v>70</v>
      </c>
      <c r="E182" s="2022"/>
      <c r="F182" s="1862"/>
      <c r="G182" s="1862" t="s">
        <v>982</v>
      </c>
      <c r="H182" s="1862"/>
      <c r="I182" s="1862"/>
      <c r="J182" s="1863"/>
      <c r="K182" s="768">
        <v>24</v>
      </c>
      <c r="L182" s="768">
        <v>132</v>
      </c>
      <c r="M182" s="779">
        <v>355</v>
      </c>
      <c r="N182" s="768">
        <v>756</v>
      </c>
      <c r="O182" s="768">
        <v>204</v>
      </c>
      <c r="P182" s="768">
        <v>1169</v>
      </c>
      <c r="Q182" s="1333">
        <v>-57</v>
      </c>
      <c r="R182" s="1332">
        <v>496</v>
      </c>
      <c r="S182" s="1332">
        <v>104</v>
      </c>
      <c r="T182" s="1332">
        <v>-1921</v>
      </c>
      <c r="U182" s="1332">
        <v>-87</v>
      </c>
      <c r="V182" s="1142">
        <v>223</v>
      </c>
      <c r="W182" s="816">
        <f>'16 Outcome Ind 2a Dis. Results'!K61</f>
        <v>28</v>
      </c>
      <c r="X182" s="372">
        <f>'16 Outcome Ind 2a Dis. Results'!K62</f>
        <v>321</v>
      </c>
      <c r="Y182" s="397">
        <f>'16 Outcome Ind 2a Dis. Results'!K63</f>
        <v>540</v>
      </c>
      <c r="Z182" s="397">
        <f>'16 Outcome Ind 2a Dis. Results'!K64</f>
        <v>640</v>
      </c>
      <c r="AA182" s="397">
        <f>'16 Outcome Ind 2a Dis. Results'!K65</f>
        <v>346</v>
      </c>
      <c r="AB182" s="420">
        <f>'16 Outcome Ind 2a Dis. Results'!K66</f>
        <v>863</v>
      </c>
    </row>
    <row r="183" spans="1:28" ht="12.95" customHeight="1" thickBot="1" x14ac:dyDescent="0.25">
      <c r="A183" s="8" t="s">
        <v>221</v>
      </c>
      <c r="B183" s="379"/>
      <c r="C183" s="728"/>
      <c r="D183" s="828" t="s">
        <v>68</v>
      </c>
      <c r="E183" s="1864"/>
      <c r="F183" s="2467"/>
      <c r="G183" s="2468"/>
      <c r="H183" s="2468"/>
      <c r="I183" s="2468"/>
      <c r="J183" s="2469"/>
      <c r="K183" s="993">
        <v>97</v>
      </c>
      <c r="L183" s="769">
        <v>73</v>
      </c>
      <c r="M183" s="849">
        <v>744</v>
      </c>
      <c r="N183" s="769">
        <v>1907</v>
      </c>
      <c r="O183" s="769">
        <v>466</v>
      </c>
      <c r="P183" s="769">
        <v>2260</v>
      </c>
      <c r="Q183" s="1331">
        <v>-122</v>
      </c>
      <c r="R183" s="993">
        <v>1457</v>
      </c>
      <c r="S183" s="993">
        <v>78</v>
      </c>
      <c r="T183" s="993">
        <v>-3412</v>
      </c>
      <c r="U183" s="993">
        <v>-161</v>
      </c>
      <c r="V183" s="1334">
        <v>462</v>
      </c>
      <c r="W183" s="817">
        <f>SUM(W181:W182)</f>
        <v>62</v>
      </c>
      <c r="X183" s="376">
        <f t="shared" ref="X183:AB183" si="7">SUM(X181:X182)</f>
        <v>769</v>
      </c>
      <c r="Y183" s="433">
        <f t="shared" si="7"/>
        <v>1339</v>
      </c>
      <c r="Z183" s="433">
        <f t="shared" si="7"/>
        <v>1402</v>
      </c>
      <c r="AA183" s="433">
        <f t="shared" si="7"/>
        <v>777</v>
      </c>
      <c r="AB183" s="436">
        <f t="shared" si="7"/>
        <v>1986</v>
      </c>
    </row>
    <row r="184" spans="1:28" ht="13.5" customHeight="1" thickBot="1" x14ac:dyDescent="0.25">
      <c r="A184" s="8" t="s">
        <v>220</v>
      </c>
      <c r="B184" s="379"/>
      <c r="C184" s="727"/>
      <c r="D184" s="762"/>
      <c r="E184" s="2282" t="s">
        <v>7</v>
      </c>
      <c r="F184" s="2173"/>
      <c r="G184" s="2173"/>
      <c r="H184" s="2173"/>
      <c r="I184" s="2173"/>
      <c r="J184" s="2173"/>
      <c r="K184" s="2173"/>
      <c r="L184" s="2173"/>
      <c r="M184" s="2173"/>
      <c r="N184" s="2173"/>
      <c r="O184" s="2173"/>
      <c r="P184" s="2173"/>
      <c r="Q184" s="2173"/>
      <c r="R184" s="2173"/>
      <c r="S184" s="2173"/>
      <c r="T184" s="2173"/>
      <c r="U184" s="2173"/>
      <c r="V184" s="2173"/>
      <c r="W184" s="2173"/>
      <c r="X184" s="2173"/>
      <c r="Y184" s="2173"/>
      <c r="Z184" s="2173"/>
      <c r="AA184" s="2173"/>
      <c r="AB184" s="2174"/>
    </row>
    <row r="185" spans="1:28" ht="12.95" customHeight="1" thickBot="1" x14ac:dyDescent="0.25">
      <c r="A185" s="8" t="s">
        <v>220</v>
      </c>
      <c r="B185" s="379"/>
      <c r="C185" s="740"/>
      <c r="D185" s="716"/>
      <c r="E185" s="1954" t="s">
        <v>42</v>
      </c>
      <c r="F185" s="1955"/>
      <c r="G185" s="1955"/>
      <c r="H185" s="1955"/>
      <c r="I185" s="1955"/>
      <c r="J185" s="1955"/>
      <c r="K185" s="1955"/>
      <c r="L185" s="1955"/>
      <c r="M185" s="1955"/>
      <c r="N185" s="1955"/>
      <c r="O185" s="1955"/>
      <c r="P185" s="1955"/>
      <c r="Q185" s="1955"/>
      <c r="R185" s="1955"/>
      <c r="S185" s="1955"/>
      <c r="T185" s="1955"/>
      <c r="U185" s="1955"/>
      <c r="V185" s="1955"/>
      <c r="W185" s="1955"/>
      <c r="X185" s="1955"/>
      <c r="Y185" s="1955"/>
      <c r="Z185" s="1955"/>
      <c r="AA185" s="1955"/>
      <c r="AB185" s="1957"/>
    </row>
    <row r="186" spans="1:28" ht="12.95" customHeight="1" thickBot="1" x14ac:dyDescent="0.25">
      <c r="A186" s="8" t="s">
        <v>220</v>
      </c>
      <c r="B186" s="379"/>
      <c r="C186" s="927" t="s">
        <v>183</v>
      </c>
      <c r="D186" s="928"/>
      <c r="E186" s="1982" t="s">
        <v>438</v>
      </c>
      <c r="F186" s="1983"/>
      <c r="G186" s="1983"/>
      <c r="H186" s="1983"/>
      <c r="I186" s="1983"/>
      <c r="J186" s="1984"/>
      <c r="K186" s="1982" t="s">
        <v>327</v>
      </c>
      <c r="L186" s="2004"/>
      <c r="M186" s="2004"/>
      <c r="N186" s="2004"/>
      <c r="O186" s="2004"/>
      <c r="P186" s="2005"/>
      <c r="Q186" s="1881" t="s">
        <v>163</v>
      </c>
      <c r="R186" s="1882"/>
      <c r="S186" s="1882"/>
      <c r="T186" s="1882"/>
      <c r="U186" s="1882"/>
      <c r="V186" s="1882"/>
      <c r="W186" s="1881" t="s">
        <v>162</v>
      </c>
      <c r="X186" s="1882"/>
      <c r="Y186" s="1882"/>
      <c r="Z186" s="1882"/>
      <c r="AA186" s="1882"/>
      <c r="AB186" s="1947"/>
    </row>
    <row r="187" spans="1:28" ht="12.75" customHeight="1" x14ac:dyDescent="0.2">
      <c r="A187" s="8" t="s">
        <v>220</v>
      </c>
      <c r="B187" s="379"/>
      <c r="C187" s="1873" t="s">
        <v>182</v>
      </c>
      <c r="D187" s="2063" t="s">
        <v>12</v>
      </c>
      <c r="E187" s="2116" t="s">
        <v>83</v>
      </c>
      <c r="F187" s="2117"/>
      <c r="G187" s="2117"/>
      <c r="H187" s="2117"/>
      <c r="I187" s="2420" t="s">
        <v>439</v>
      </c>
      <c r="J187" s="2421"/>
      <c r="K187" s="1964">
        <v>23000</v>
      </c>
      <c r="L187" s="1965"/>
      <c r="M187" s="1965"/>
      <c r="N187" s="1965"/>
      <c r="O187" s="1965"/>
      <c r="P187" s="2097"/>
      <c r="Q187" s="1931">
        <v>30300</v>
      </c>
      <c r="R187" s="1876"/>
      <c r="S187" s="1876"/>
      <c r="T187" s="1876"/>
      <c r="U187" s="1876"/>
      <c r="V187" s="1877"/>
      <c r="W187" s="1931">
        <v>37600</v>
      </c>
      <c r="X187" s="1876"/>
      <c r="Y187" s="1876"/>
      <c r="Z187" s="1876"/>
      <c r="AA187" s="1876"/>
      <c r="AB187" s="1877"/>
    </row>
    <row r="188" spans="1:28" ht="12" customHeight="1" x14ac:dyDescent="0.2">
      <c r="A188" s="8" t="s">
        <v>220</v>
      </c>
      <c r="B188" s="379"/>
      <c r="C188" s="1874"/>
      <c r="D188" s="2064"/>
      <c r="E188" s="1945" t="s">
        <v>117</v>
      </c>
      <c r="F188" s="1946"/>
      <c r="G188" s="1946"/>
      <c r="H188" s="1946"/>
      <c r="I188" s="1950"/>
      <c r="J188" s="1951"/>
      <c r="K188" s="1931">
        <v>9285</v>
      </c>
      <c r="L188" s="1876"/>
      <c r="M188" s="1876"/>
      <c r="N188" s="1876"/>
      <c r="O188" s="1876"/>
      <c r="P188" s="1877"/>
      <c r="Q188" s="1931">
        <v>12385</v>
      </c>
      <c r="R188" s="1876"/>
      <c r="S188" s="1876"/>
      <c r="T188" s="1876"/>
      <c r="U188" s="1876"/>
      <c r="V188" s="1877"/>
      <c r="W188" s="1931">
        <v>15485</v>
      </c>
      <c r="X188" s="1876"/>
      <c r="Y188" s="1876"/>
      <c r="Z188" s="1876"/>
      <c r="AA188" s="1876"/>
      <c r="AB188" s="1877"/>
    </row>
    <row r="189" spans="1:28" ht="12.95" customHeight="1" x14ac:dyDescent="0.2">
      <c r="A189" s="8" t="s">
        <v>220</v>
      </c>
      <c r="B189" s="379"/>
      <c r="C189" s="1874"/>
      <c r="D189" s="2064"/>
      <c r="E189" s="1945" t="s">
        <v>84</v>
      </c>
      <c r="F189" s="1946"/>
      <c r="G189" s="1946"/>
      <c r="H189" s="1946"/>
      <c r="I189" s="1950"/>
      <c r="J189" s="1951"/>
      <c r="K189" s="1931">
        <v>6000</v>
      </c>
      <c r="L189" s="1876"/>
      <c r="M189" s="1876"/>
      <c r="N189" s="1876"/>
      <c r="O189" s="1876"/>
      <c r="P189" s="1877"/>
      <c r="Q189" s="1931">
        <v>18000</v>
      </c>
      <c r="R189" s="1876"/>
      <c r="S189" s="1876"/>
      <c r="T189" s="1876"/>
      <c r="U189" s="1876"/>
      <c r="V189" s="1877"/>
      <c r="W189" s="1931">
        <v>36000</v>
      </c>
      <c r="X189" s="1876"/>
      <c r="Y189" s="1876"/>
      <c r="Z189" s="1876"/>
      <c r="AA189" s="1876"/>
      <c r="AB189" s="1877"/>
    </row>
    <row r="190" spans="1:28" ht="12.95" customHeight="1" thickBot="1" x14ac:dyDescent="0.25">
      <c r="A190" s="8" t="s">
        <v>220</v>
      </c>
      <c r="B190" s="379"/>
      <c r="C190" s="1874"/>
      <c r="D190" s="2346"/>
      <c r="E190" s="2465" t="s">
        <v>68</v>
      </c>
      <c r="F190" s="2466"/>
      <c r="G190" s="2466"/>
      <c r="H190" s="2466"/>
      <c r="I190" s="2361"/>
      <c r="J190" s="2362"/>
      <c r="K190" s="1931">
        <v>38285</v>
      </c>
      <c r="L190" s="1876"/>
      <c r="M190" s="1876"/>
      <c r="N190" s="1876"/>
      <c r="O190" s="1876"/>
      <c r="P190" s="1877"/>
      <c r="Q190" s="1931">
        <v>60685</v>
      </c>
      <c r="R190" s="1876"/>
      <c r="S190" s="1876"/>
      <c r="T190" s="1876"/>
      <c r="U190" s="1876"/>
      <c r="V190" s="1877"/>
      <c r="W190" s="1931">
        <v>89085</v>
      </c>
      <c r="X190" s="1876"/>
      <c r="Y190" s="1876"/>
      <c r="Z190" s="1876"/>
      <c r="AA190" s="1876"/>
      <c r="AB190" s="1877"/>
    </row>
    <row r="191" spans="1:28" ht="12.95" customHeight="1" x14ac:dyDescent="0.2">
      <c r="A191" s="8" t="s">
        <v>220</v>
      </c>
      <c r="B191" s="379"/>
      <c r="C191" s="1874"/>
      <c r="D191" s="731" t="s">
        <v>10</v>
      </c>
      <c r="E191" s="1973" t="s">
        <v>116</v>
      </c>
      <c r="F191" s="1963"/>
      <c r="G191" s="1963"/>
      <c r="H191" s="1963"/>
      <c r="I191" s="1965">
        <v>22204</v>
      </c>
      <c r="J191" s="2097"/>
      <c r="K191" s="2094">
        <v>27362</v>
      </c>
      <c r="L191" s="2095"/>
      <c r="M191" s="2095"/>
      <c r="N191" s="2095"/>
      <c r="O191" s="2095"/>
      <c r="P191" s="2096"/>
      <c r="Q191" s="1966" t="s">
        <v>1298</v>
      </c>
      <c r="R191" s="1967"/>
      <c r="S191" s="1967"/>
      <c r="T191" s="1967"/>
      <c r="U191" s="1967"/>
      <c r="V191" s="1968"/>
      <c r="W191" s="1964" t="s">
        <v>1456</v>
      </c>
      <c r="X191" s="1965"/>
      <c r="Y191" s="1965"/>
      <c r="Z191" s="1965"/>
      <c r="AA191" s="1965"/>
      <c r="AB191" s="2097"/>
    </row>
    <row r="192" spans="1:28" ht="12.95" customHeight="1" x14ac:dyDescent="0.2">
      <c r="A192" s="8" t="s">
        <v>220</v>
      </c>
      <c r="B192" s="379"/>
      <c r="C192" s="1874"/>
      <c r="D192" s="731"/>
      <c r="E192" s="1871" t="s">
        <v>117</v>
      </c>
      <c r="F192" s="1872"/>
      <c r="G192" s="1872"/>
      <c r="H192" s="1872"/>
      <c r="I192" s="1876">
        <v>6186</v>
      </c>
      <c r="J192" s="1877"/>
      <c r="K192" s="1930">
        <v>12425</v>
      </c>
      <c r="L192" s="1855"/>
      <c r="M192" s="1855"/>
      <c r="N192" s="1855"/>
      <c r="O192" s="1855"/>
      <c r="P192" s="1856"/>
      <c r="Q192" s="1939" t="s">
        <v>1297</v>
      </c>
      <c r="R192" s="1940"/>
      <c r="S192" s="1940"/>
      <c r="T192" s="1940"/>
      <c r="U192" s="1940"/>
      <c r="V192" s="1941"/>
      <c r="W192" s="1931" t="s">
        <v>1457</v>
      </c>
      <c r="X192" s="1876"/>
      <c r="Y192" s="1876"/>
      <c r="Z192" s="1876"/>
      <c r="AA192" s="1876"/>
      <c r="AB192" s="1877"/>
    </row>
    <row r="193" spans="1:28" ht="12.95" customHeight="1" x14ac:dyDescent="0.2">
      <c r="A193" s="8" t="s">
        <v>220</v>
      </c>
      <c r="B193" s="379"/>
      <c r="C193" s="1874"/>
      <c r="D193" s="731"/>
      <c r="E193" s="1871" t="s">
        <v>118</v>
      </c>
      <c r="F193" s="1872"/>
      <c r="G193" s="1872"/>
      <c r="H193" s="1872"/>
      <c r="I193" s="1876">
        <v>6000</v>
      </c>
      <c r="J193" s="1877"/>
      <c r="K193" s="1930">
        <v>6637</v>
      </c>
      <c r="L193" s="1855"/>
      <c r="M193" s="1855"/>
      <c r="N193" s="1855"/>
      <c r="O193" s="1855"/>
      <c r="P193" s="1856"/>
      <c r="Q193" s="1939">
        <v>12647</v>
      </c>
      <c r="R193" s="1940"/>
      <c r="S193" s="1940"/>
      <c r="T193" s="1940"/>
      <c r="U193" s="1940"/>
      <c r="V193" s="1941"/>
      <c r="W193" s="1931" t="s">
        <v>1458</v>
      </c>
      <c r="X193" s="1876"/>
      <c r="Y193" s="1876"/>
      <c r="Z193" s="1876"/>
      <c r="AA193" s="1876"/>
      <c r="AB193" s="1877"/>
    </row>
    <row r="194" spans="1:28" ht="12.95" customHeight="1" thickBot="1" x14ac:dyDescent="0.25">
      <c r="A194" s="8" t="s">
        <v>220</v>
      </c>
      <c r="B194" s="379"/>
      <c r="C194" s="1874"/>
      <c r="D194" s="929"/>
      <c r="E194" s="1910" t="s">
        <v>119</v>
      </c>
      <c r="F194" s="1911"/>
      <c r="G194" s="1911"/>
      <c r="H194" s="1911"/>
      <c r="I194" s="1969">
        <v>34390</v>
      </c>
      <c r="J194" s="2133"/>
      <c r="K194" s="1930">
        <v>46424</v>
      </c>
      <c r="L194" s="1855"/>
      <c r="M194" s="1855"/>
      <c r="N194" s="1855"/>
      <c r="O194" s="1855"/>
      <c r="P194" s="1856"/>
      <c r="Q194" s="1960" t="s">
        <v>1299</v>
      </c>
      <c r="R194" s="1961"/>
      <c r="S194" s="1961"/>
      <c r="T194" s="1961"/>
      <c r="U194" s="1961"/>
      <c r="V194" s="2470"/>
      <c r="W194" s="1931" t="s">
        <v>1459</v>
      </c>
      <c r="X194" s="1876"/>
      <c r="Y194" s="1876"/>
      <c r="Z194" s="1876"/>
      <c r="AA194" s="1876"/>
      <c r="AB194" s="1877"/>
    </row>
    <row r="195" spans="1:28" ht="12.95" customHeight="1" thickBot="1" x14ac:dyDescent="0.25">
      <c r="A195" s="8" t="s">
        <v>220</v>
      </c>
      <c r="B195" s="379"/>
      <c r="C195" s="1874"/>
      <c r="D195" s="2115" t="s">
        <v>7</v>
      </c>
      <c r="E195" s="2092"/>
      <c r="F195" s="2092"/>
      <c r="G195" s="2092"/>
      <c r="H195" s="2092"/>
      <c r="I195" s="2092"/>
      <c r="J195" s="2092"/>
      <c r="K195" s="2092"/>
      <c r="L195" s="2092"/>
      <c r="M195" s="2092"/>
      <c r="N195" s="2092"/>
      <c r="O195" s="2092"/>
      <c r="P195" s="2092"/>
      <c r="Q195" s="2092"/>
      <c r="R195" s="2092"/>
      <c r="S195" s="2092"/>
      <c r="T195" s="2092"/>
      <c r="U195" s="2092"/>
      <c r="V195" s="2092"/>
      <c r="W195" s="2092"/>
      <c r="X195" s="2092"/>
      <c r="Y195" s="2092"/>
      <c r="Z195" s="2092"/>
      <c r="AA195" s="2092"/>
      <c r="AB195" s="2093"/>
    </row>
    <row r="196" spans="1:28" ht="12.95" customHeight="1" thickBot="1" x14ac:dyDescent="0.25">
      <c r="A196" s="8" t="s">
        <v>220</v>
      </c>
      <c r="B196" s="379"/>
      <c r="C196" s="1875"/>
      <c r="D196" s="1894" t="s">
        <v>143</v>
      </c>
      <c r="E196" s="1895"/>
      <c r="F196" s="1895"/>
      <c r="G196" s="1895"/>
      <c r="H196" s="1895"/>
      <c r="I196" s="1895"/>
      <c r="J196" s="1895"/>
      <c r="K196" s="1895"/>
      <c r="L196" s="1895"/>
      <c r="M196" s="1895"/>
      <c r="N196" s="1895"/>
      <c r="O196" s="1895"/>
      <c r="P196" s="1895"/>
      <c r="Q196" s="1895"/>
      <c r="R196" s="1895"/>
      <c r="S196" s="1895"/>
      <c r="T196" s="1895"/>
      <c r="U196" s="1895"/>
      <c r="V196" s="1895"/>
      <c r="W196" s="1895"/>
      <c r="X196" s="1895"/>
      <c r="Y196" s="1895"/>
      <c r="Z196" s="1895"/>
      <c r="AA196" s="1895"/>
      <c r="AB196" s="1896"/>
    </row>
    <row r="197" spans="1:28" ht="12.95" customHeight="1" thickBot="1" x14ac:dyDescent="0.25">
      <c r="A197" s="8" t="s">
        <v>220</v>
      </c>
      <c r="B197" s="379"/>
      <c r="C197" s="927" t="s">
        <v>837</v>
      </c>
      <c r="D197" s="928"/>
      <c r="E197" s="1878" t="s">
        <v>438</v>
      </c>
      <c r="F197" s="1879"/>
      <c r="G197" s="1879"/>
      <c r="H197" s="1879"/>
      <c r="I197" s="1879"/>
      <c r="J197" s="1880"/>
      <c r="K197" s="1878" t="s">
        <v>327</v>
      </c>
      <c r="L197" s="1879"/>
      <c r="M197" s="1879"/>
      <c r="N197" s="1879"/>
      <c r="O197" s="1879"/>
      <c r="P197" s="1880"/>
      <c r="Q197" s="1881" t="s">
        <v>163</v>
      </c>
      <c r="R197" s="1882"/>
      <c r="S197" s="1882"/>
      <c r="T197" s="1882"/>
      <c r="U197" s="1882"/>
      <c r="V197" s="1947"/>
      <c r="W197" s="1881" t="s">
        <v>162</v>
      </c>
      <c r="X197" s="1882"/>
      <c r="Y197" s="1882"/>
      <c r="Z197" s="1882"/>
      <c r="AA197" s="1882"/>
      <c r="AB197" s="1947"/>
    </row>
    <row r="198" spans="1:28" ht="17.25" customHeight="1" thickBot="1" x14ac:dyDescent="0.25">
      <c r="A198" s="8" t="s">
        <v>220</v>
      </c>
      <c r="B198" s="379"/>
      <c r="C198" s="1925" t="s">
        <v>101</v>
      </c>
      <c r="D198" s="715" t="s">
        <v>102</v>
      </c>
      <c r="E198" s="2279" t="s">
        <v>440</v>
      </c>
      <c r="F198" s="2280"/>
      <c r="G198" s="2280"/>
      <c r="H198" s="2280"/>
      <c r="I198" s="2280"/>
      <c r="J198" s="2281"/>
      <c r="K198" s="1902">
        <v>0.5</v>
      </c>
      <c r="L198" s="1903"/>
      <c r="M198" s="1903"/>
      <c r="N198" s="1903"/>
      <c r="O198" s="1903"/>
      <c r="P198" s="1904"/>
      <c r="Q198" s="1891">
        <v>0.55000000000000004</v>
      </c>
      <c r="R198" s="1905"/>
      <c r="S198" s="1905"/>
      <c r="T198" s="1905"/>
      <c r="U198" s="1905"/>
      <c r="V198" s="1906"/>
      <c r="W198" s="1902">
        <v>0.6</v>
      </c>
      <c r="X198" s="1903"/>
      <c r="Y198" s="1903"/>
      <c r="Z198" s="1903"/>
      <c r="AA198" s="1903"/>
      <c r="AB198" s="1904"/>
    </row>
    <row r="199" spans="1:28" ht="15.75" customHeight="1" thickBot="1" x14ac:dyDescent="0.25">
      <c r="A199" s="8" t="s">
        <v>220</v>
      </c>
      <c r="B199" s="379"/>
      <c r="C199" s="1925"/>
      <c r="D199" s="715" t="s">
        <v>10</v>
      </c>
      <c r="E199" s="1902">
        <v>0.376</v>
      </c>
      <c r="F199" s="1903"/>
      <c r="G199" s="1903"/>
      <c r="H199" s="1903"/>
      <c r="I199" s="1903"/>
      <c r="J199" s="1904"/>
      <c r="K199" s="1891">
        <v>0.627</v>
      </c>
      <c r="L199" s="1905"/>
      <c r="M199" s="1905"/>
      <c r="N199" s="1905"/>
      <c r="O199" s="1905"/>
      <c r="P199" s="1906"/>
      <c r="Q199" s="1891">
        <v>0.67</v>
      </c>
      <c r="R199" s="1892"/>
      <c r="S199" s="1892"/>
      <c r="T199" s="1892"/>
      <c r="U199" s="1892"/>
      <c r="V199" s="1893"/>
      <c r="W199" s="2276">
        <v>0.69</v>
      </c>
      <c r="X199" s="2277"/>
      <c r="Y199" s="2277"/>
      <c r="Z199" s="2277"/>
      <c r="AA199" s="2277"/>
      <c r="AB199" s="2278"/>
    </row>
    <row r="200" spans="1:28" ht="15.75" customHeight="1" thickBot="1" x14ac:dyDescent="0.25">
      <c r="A200" s="8" t="s">
        <v>221</v>
      </c>
      <c r="B200" s="379"/>
      <c r="C200" s="1925"/>
      <c r="D200" s="715"/>
      <c r="E200" s="893" t="s">
        <v>18</v>
      </c>
      <c r="F200" s="891" t="s">
        <v>17</v>
      </c>
      <c r="G200" s="891" t="s">
        <v>16</v>
      </c>
      <c r="H200" s="891" t="s">
        <v>15</v>
      </c>
      <c r="I200" s="891" t="s">
        <v>14</v>
      </c>
      <c r="J200" s="892" t="s">
        <v>13</v>
      </c>
      <c r="K200" s="893" t="s">
        <v>18</v>
      </c>
      <c r="L200" s="891" t="s">
        <v>17</v>
      </c>
      <c r="M200" s="894" t="s">
        <v>16</v>
      </c>
      <c r="N200" s="891" t="s">
        <v>15</v>
      </c>
      <c r="O200" s="891" t="s">
        <v>14</v>
      </c>
      <c r="P200" s="892" t="s">
        <v>13</v>
      </c>
      <c r="Q200" s="893" t="s">
        <v>18</v>
      </c>
      <c r="R200" s="891" t="s">
        <v>17</v>
      </c>
      <c r="S200" s="891" t="s">
        <v>16</v>
      </c>
      <c r="T200" s="891" t="s">
        <v>15</v>
      </c>
      <c r="U200" s="891" t="s">
        <v>14</v>
      </c>
      <c r="V200" s="892" t="s">
        <v>13</v>
      </c>
      <c r="W200" s="1519" t="s">
        <v>18</v>
      </c>
      <c r="X200" s="891" t="s">
        <v>17</v>
      </c>
      <c r="Y200" s="891" t="s">
        <v>16</v>
      </c>
      <c r="Z200" s="891" t="s">
        <v>15</v>
      </c>
      <c r="AA200" s="891" t="s">
        <v>14</v>
      </c>
      <c r="AB200" s="892" t="s">
        <v>13</v>
      </c>
    </row>
    <row r="201" spans="1:28" ht="15.75" customHeight="1" thickBot="1" x14ac:dyDescent="0.25">
      <c r="A201" s="8" t="s">
        <v>221</v>
      </c>
      <c r="B201" s="379"/>
      <c r="C201" s="1925"/>
      <c r="D201" s="702" t="s">
        <v>12</v>
      </c>
      <c r="E201" s="930"/>
      <c r="F201" s="931"/>
      <c r="G201" s="931"/>
      <c r="H201" s="931"/>
      <c r="I201" s="931"/>
      <c r="J201" s="932"/>
      <c r="K201" s="930"/>
      <c r="L201" s="931"/>
      <c r="M201" s="931"/>
      <c r="N201" s="931"/>
      <c r="O201" s="931"/>
      <c r="P201" s="932"/>
      <c r="Q201" s="575"/>
      <c r="R201" s="575"/>
      <c r="S201" s="575"/>
      <c r="T201" s="575"/>
      <c r="U201" s="575"/>
      <c r="V201" s="575"/>
      <c r="W201" s="933"/>
      <c r="X201" s="846"/>
      <c r="Y201" s="846"/>
      <c r="Z201" s="846"/>
      <c r="AA201" s="846"/>
      <c r="AB201" s="919"/>
    </row>
    <row r="202" spans="1:28" ht="15.75" customHeight="1" thickBot="1" x14ac:dyDescent="0.25">
      <c r="A202" s="8" t="s">
        <v>221</v>
      </c>
      <c r="B202" s="379"/>
      <c r="C202" s="1925"/>
      <c r="D202" s="702" t="s">
        <v>10</v>
      </c>
      <c r="E202" s="1226"/>
      <c r="F202" s="1227"/>
      <c r="G202" s="1227"/>
      <c r="H202" s="1227"/>
      <c r="I202" s="1227"/>
      <c r="J202" s="1227"/>
      <c r="K202" s="371">
        <v>0.66</v>
      </c>
      <c r="L202" s="371">
        <v>0.93500000000000005</v>
      </c>
      <c r="M202" s="371">
        <v>0.35299999999999998</v>
      </c>
      <c r="N202" s="371">
        <v>0.62</v>
      </c>
      <c r="O202" s="371">
        <v>0.437</v>
      </c>
      <c r="P202" s="1272">
        <v>0.75</v>
      </c>
      <c r="Q202" s="1273">
        <v>0.77</v>
      </c>
      <c r="R202" s="1274">
        <v>0.25</v>
      </c>
      <c r="S202" s="1274">
        <v>0.6</v>
      </c>
      <c r="T202" s="1274">
        <v>0.7</v>
      </c>
      <c r="U202" s="1274">
        <v>0.73</v>
      </c>
      <c r="V202" s="1275">
        <v>0.75</v>
      </c>
      <c r="W202" s="1516">
        <v>0.65</v>
      </c>
      <c r="X202" s="1517">
        <v>0.79</v>
      </c>
      <c r="Y202" s="1517">
        <v>0.57999999999999996</v>
      </c>
      <c r="Z202" s="1517">
        <v>0.67</v>
      </c>
      <c r="AA202" s="1517">
        <v>0.46</v>
      </c>
      <c r="AB202" s="1518">
        <v>0.77</v>
      </c>
    </row>
    <row r="203" spans="1:28" ht="15.75" customHeight="1" thickBot="1" x14ac:dyDescent="0.25">
      <c r="A203" s="8" t="s">
        <v>220</v>
      </c>
      <c r="B203" s="379"/>
      <c r="C203" s="1925"/>
      <c r="D203" s="716"/>
      <c r="E203" s="2282" t="s">
        <v>7</v>
      </c>
      <c r="F203" s="2173"/>
      <c r="G203" s="2173"/>
      <c r="H203" s="2173"/>
      <c r="I203" s="2173"/>
      <c r="J203" s="2173"/>
      <c r="K203" s="2173"/>
      <c r="L203" s="2173"/>
      <c r="M203" s="2173"/>
      <c r="N203" s="2173"/>
      <c r="O203" s="2173"/>
      <c r="P203" s="2173"/>
      <c r="Q203" s="2173"/>
      <c r="R203" s="2173"/>
      <c r="S203" s="2173"/>
      <c r="T203" s="2173"/>
      <c r="U203" s="2173"/>
      <c r="V203" s="2173"/>
      <c r="W203" s="2173"/>
      <c r="X203" s="2173"/>
      <c r="Y203" s="2173"/>
      <c r="Z203" s="2173"/>
      <c r="AA203" s="2173"/>
      <c r="AB203" s="2174"/>
    </row>
    <row r="204" spans="1:28" ht="12.75" customHeight="1" thickBot="1" x14ac:dyDescent="0.25">
      <c r="A204" s="8" t="s">
        <v>220</v>
      </c>
      <c r="B204" s="379"/>
      <c r="C204" s="740"/>
      <c r="D204" s="716"/>
      <c r="E204" s="1954" t="s">
        <v>131</v>
      </c>
      <c r="F204" s="1955"/>
      <c r="G204" s="1955"/>
      <c r="H204" s="1955"/>
      <c r="I204" s="1955"/>
      <c r="J204" s="1955"/>
      <c r="K204" s="1955"/>
      <c r="L204" s="1955"/>
      <c r="M204" s="1955"/>
      <c r="N204" s="1955"/>
      <c r="O204" s="1955"/>
      <c r="P204" s="1955"/>
      <c r="Q204" s="1955"/>
      <c r="R204" s="1955"/>
      <c r="S204" s="1955"/>
      <c r="T204" s="1955"/>
      <c r="U204" s="1955"/>
      <c r="V204" s="1955"/>
      <c r="W204" s="1955"/>
      <c r="X204" s="1955"/>
      <c r="Y204" s="1955"/>
      <c r="Z204" s="1955"/>
      <c r="AA204" s="1955"/>
      <c r="AB204" s="1957"/>
    </row>
    <row r="205" spans="1:28" ht="12.75" customHeight="1" thickBot="1" x14ac:dyDescent="0.25">
      <c r="A205" s="8" t="s">
        <v>220</v>
      </c>
      <c r="B205" s="379"/>
      <c r="C205" s="927" t="s">
        <v>1041</v>
      </c>
      <c r="D205" s="1129"/>
      <c r="E205" s="1878" t="s">
        <v>218</v>
      </c>
      <c r="F205" s="1883"/>
      <c r="G205" s="1883"/>
      <c r="H205" s="1883"/>
      <c r="I205" s="1883"/>
      <c r="J205" s="1884"/>
      <c r="K205" s="1878" t="s">
        <v>327</v>
      </c>
      <c r="L205" s="1879"/>
      <c r="M205" s="1879"/>
      <c r="N205" s="1879"/>
      <c r="O205" s="1879"/>
      <c r="P205" s="1880"/>
      <c r="Q205" s="1881" t="s">
        <v>163</v>
      </c>
      <c r="R205" s="1882"/>
      <c r="S205" s="1882"/>
      <c r="T205" s="1882"/>
      <c r="U205" s="1882"/>
      <c r="V205" s="1882"/>
      <c r="W205" s="1881" t="s">
        <v>162</v>
      </c>
      <c r="X205" s="1882"/>
      <c r="Y205" s="1882"/>
      <c r="Z205" s="1882"/>
      <c r="AA205" s="1882"/>
      <c r="AB205" s="1947"/>
    </row>
    <row r="206" spans="1:28" ht="12.75" customHeight="1" x14ac:dyDescent="0.2">
      <c r="A206" s="8" t="s">
        <v>220</v>
      </c>
      <c r="B206" s="379"/>
      <c r="C206" s="2232" t="s">
        <v>1044</v>
      </c>
      <c r="D206" s="2418" t="s">
        <v>173</v>
      </c>
      <c r="E206" s="1998" t="s">
        <v>159</v>
      </c>
      <c r="F206" s="1849"/>
      <c r="G206" s="1849"/>
      <c r="H206" s="1138" t="s">
        <v>49</v>
      </c>
      <c r="I206" s="1138" t="s">
        <v>48</v>
      </c>
      <c r="J206" s="1139" t="s">
        <v>47</v>
      </c>
      <c r="K206" s="1998"/>
      <c r="L206" s="1849"/>
      <c r="M206" s="1849"/>
      <c r="N206" s="1140" t="s">
        <v>49</v>
      </c>
      <c r="O206" s="1140" t="s">
        <v>48</v>
      </c>
      <c r="P206" s="1141" t="s">
        <v>47</v>
      </c>
      <c r="Q206" s="1998"/>
      <c r="R206" s="1849"/>
      <c r="S206" s="1849"/>
      <c r="T206" s="1140" t="s">
        <v>49</v>
      </c>
      <c r="U206" s="1140" t="s">
        <v>48</v>
      </c>
      <c r="V206" s="1141" t="s">
        <v>47</v>
      </c>
      <c r="W206" s="1998"/>
      <c r="X206" s="1849"/>
      <c r="Y206" s="1849"/>
      <c r="Z206" s="1140" t="s">
        <v>49</v>
      </c>
      <c r="AA206" s="1140" t="s">
        <v>48</v>
      </c>
      <c r="AB206" s="1141" t="s">
        <v>47</v>
      </c>
    </row>
    <row r="207" spans="1:28" ht="12.75" customHeight="1" thickBot="1" x14ac:dyDescent="0.25">
      <c r="A207" s="8" t="s">
        <v>220</v>
      </c>
      <c r="B207" s="379"/>
      <c r="C207" s="2232"/>
      <c r="D207" s="2419"/>
      <c r="E207" s="1998" t="s">
        <v>72</v>
      </c>
      <c r="F207" s="1849"/>
      <c r="G207" s="1849"/>
      <c r="H207" s="1110">
        <v>650868</v>
      </c>
      <c r="I207" s="388"/>
      <c r="J207" s="1079"/>
      <c r="K207" s="1998" t="s">
        <v>876</v>
      </c>
      <c r="L207" s="1849"/>
      <c r="M207" s="1849"/>
      <c r="N207" s="1113" t="s">
        <v>93</v>
      </c>
      <c r="O207" s="1110" t="s">
        <v>94</v>
      </c>
      <c r="P207" s="1142" t="s">
        <v>127</v>
      </c>
      <c r="Q207" s="1998" t="s">
        <v>877</v>
      </c>
      <c r="R207" s="1849"/>
      <c r="S207" s="1849"/>
      <c r="T207" s="1113">
        <f>U207+V207</f>
        <v>5225394</v>
      </c>
      <c r="U207" s="1113">
        <v>2703149</v>
      </c>
      <c r="V207" s="1114">
        <v>2522245</v>
      </c>
      <c r="W207" s="1998" t="s">
        <v>876</v>
      </c>
      <c r="X207" s="1849"/>
      <c r="Y207" s="1849"/>
      <c r="Z207" s="542">
        <f>AA207+AB207</f>
        <v>5766815</v>
      </c>
      <c r="AA207" s="1220">
        <v>3056412</v>
      </c>
      <c r="AB207" s="1221">
        <v>2710403</v>
      </c>
    </row>
    <row r="208" spans="1:28" ht="12.75" customHeight="1" x14ac:dyDescent="0.2">
      <c r="A208" s="8" t="s">
        <v>220</v>
      </c>
      <c r="B208" s="379"/>
      <c r="C208" s="2232"/>
      <c r="D208" s="2418" t="s">
        <v>10</v>
      </c>
      <c r="E208" s="2158" t="s">
        <v>159</v>
      </c>
      <c r="F208" s="2158"/>
      <c r="G208" s="2158"/>
      <c r="H208" s="1138" t="s">
        <v>49</v>
      </c>
      <c r="I208" s="1138" t="s">
        <v>48</v>
      </c>
      <c r="J208" s="1139" t="s">
        <v>47</v>
      </c>
      <c r="K208" s="2157"/>
      <c r="L208" s="2158"/>
      <c r="M208" s="2158"/>
      <c r="N208" s="1138" t="s">
        <v>49</v>
      </c>
      <c r="O208" s="1138" t="s">
        <v>48</v>
      </c>
      <c r="P208" s="1139" t="s">
        <v>47</v>
      </c>
      <c r="Q208" s="2157"/>
      <c r="R208" s="2158"/>
      <c r="S208" s="2158"/>
      <c r="T208" s="1138" t="s">
        <v>49</v>
      </c>
      <c r="U208" s="1138" t="s">
        <v>48</v>
      </c>
      <c r="V208" s="1139" t="s">
        <v>47</v>
      </c>
      <c r="W208" s="2157"/>
      <c r="X208" s="2158"/>
      <c r="Y208" s="2158"/>
      <c r="Z208" s="1138" t="s">
        <v>49</v>
      </c>
      <c r="AA208" s="1138" t="s">
        <v>48</v>
      </c>
      <c r="AB208" s="1139" t="s">
        <v>47</v>
      </c>
    </row>
    <row r="209" spans="1:28" ht="12.75" customHeight="1" thickBot="1" x14ac:dyDescent="0.25">
      <c r="A209" s="8" t="s">
        <v>220</v>
      </c>
      <c r="B209" s="379"/>
      <c r="C209" s="2232"/>
      <c r="D209" s="2419"/>
      <c r="E209" s="1849" t="s">
        <v>72</v>
      </c>
      <c r="F209" s="1849"/>
      <c r="G209" s="1849"/>
      <c r="H209" s="1113">
        <v>670140</v>
      </c>
      <c r="I209" s="1113">
        <v>355174</v>
      </c>
      <c r="J209" s="1114">
        <v>314966</v>
      </c>
      <c r="K209" s="1998" t="s">
        <v>876</v>
      </c>
      <c r="L209" s="1849"/>
      <c r="M209" s="1849"/>
      <c r="N209" s="1113" t="s">
        <v>273</v>
      </c>
      <c r="O209" s="1113" t="s">
        <v>274</v>
      </c>
      <c r="P209" s="1114" t="s">
        <v>275</v>
      </c>
      <c r="Q209" s="1998" t="s">
        <v>878</v>
      </c>
      <c r="R209" s="1849"/>
      <c r="S209" s="1849"/>
      <c r="T209" s="1335">
        <f>U209+V209</f>
        <v>5192138</v>
      </c>
      <c r="U209" s="1335">
        <f>SUM(Q216:V216)</f>
        <v>2683826.02</v>
      </c>
      <c r="V209" s="1336">
        <f>SUM(Q217:V217)</f>
        <v>2508311.98</v>
      </c>
      <c r="W209" s="1998" t="s">
        <v>879</v>
      </c>
      <c r="X209" s="1849"/>
      <c r="Y209" s="1849"/>
      <c r="Z209" s="1220">
        <v>6556783</v>
      </c>
      <c r="AA209" s="1220">
        <v>3385474</v>
      </c>
      <c r="AB209" s="1221">
        <v>3171309</v>
      </c>
    </row>
    <row r="210" spans="1:28" ht="15" customHeight="1" thickBot="1" x14ac:dyDescent="0.25">
      <c r="A210" s="8" t="s">
        <v>221</v>
      </c>
      <c r="B210" s="379"/>
      <c r="C210" s="2232"/>
      <c r="D210" s="1146"/>
      <c r="E210" s="1115" t="s">
        <v>18</v>
      </c>
      <c r="F210" s="891" t="s">
        <v>17</v>
      </c>
      <c r="G210" s="891" t="s">
        <v>16</v>
      </c>
      <c r="H210" s="891" t="s">
        <v>15</v>
      </c>
      <c r="I210" s="891" t="s">
        <v>14</v>
      </c>
      <c r="J210" s="892" t="s">
        <v>13</v>
      </c>
      <c r="K210" s="1109" t="s">
        <v>18</v>
      </c>
      <c r="L210" s="377" t="s">
        <v>17</v>
      </c>
      <c r="M210" s="822" t="s">
        <v>16</v>
      </c>
      <c r="N210" s="377" t="s">
        <v>15</v>
      </c>
      <c r="O210" s="377" t="s">
        <v>14</v>
      </c>
      <c r="P210" s="378" t="s">
        <v>13</v>
      </c>
      <c r="Q210" s="1109" t="s">
        <v>18</v>
      </c>
      <c r="R210" s="377" t="s">
        <v>17</v>
      </c>
      <c r="S210" s="377" t="s">
        <v>16</v>
      </c>
      <c r="T210" s="377" t="s">
        <v>15</v>
      </c>
      <c r="U210" s="377" t="s">
        <v>14</v>
      </c>
      <c r="V210" s="378" t="s">
        <v>13</v>
      </c>
      <c r="W210" s="1109" t="s">
        <v>18</v>
      </c>
      <c r="X210" s="377" t="s">
        <v>17</v>
      </c>
      <c r="Y210" s="377" t="s">
        <v>16</v>
      </c>
      <c r="Z210" s="377" t="s">
        <v>15</v>
      </c>
      <c r="AA210" s="377" t="s">
        <v>14</v>
      </c>
      <c r="AB210" s="378" t="s">
        <v>13</v>
      </c>
    </row>
    <row r="211" spans="1:28" ht="15" customHeight="1" x14ac:dyDescent="0.2">
      <c r="A211" s="8" t="s">
        <v>221</v>
      </c>
      <c r="B211" s="379"/>
      <c r="C211" s="2232"/>
      <c r="D211" s="1147" t="s">
        <v>12</v>
      </c>
      <c r="E211" s="1118"/>
      <c r="F211" s="1118"/>
      <c r="G211" s="1118"/>
      <c r="H211" s="1112"/>
      <c r="I211" s="1112"/>
      <c r="J211" s="1112"/>
      <c r="K211" s="1121"/>
      <c r="L211" s="1122"/>
      <c r="M211" s="1116"/>
      <c r="N211" s="1128"/>
      <c r="O211" s="1128"/>
      <c r="P211" s="1128"/>
      <c r="Q211" s="1121"/>
      <c r="R211" s="1122"/>
      <c r="S211" s="1122"/>
      <c r="T211" s="572"/>
      <c r="U211" s="572"/>
      <c r="V211" s="572"/>
      <c r="W211" s="1121"/>
      <c r="X211" s="1122"/>
      <c r="Y211" s="1122"/>
      <c r="Z211" s="572"/>
      <c r="AA211" s="572"/>
      <c r="AB211" s="573"/>
    </row>
    <row r="212" spans="1:28" ht="15" customHeight="1" x14ac:dyDescent="0.2">
      <c r="A212" s="8" t="s">
        <v>221</v>
      </c>
      <c r="B212" s="379"/>
      <c r="C212" s="2232"/>
      <c r="D212" s="1148" t="s">
        <v>69</v>
      </c>
      <c r="E212" s="1118"/>
      <c r="F212" s="1118"/>
      <c r="G212" s="1118" t="s">
        <v>216</v>
      </c>
      <c r="H212" s="1112"/>
      <c r="I212" s="1112"/>
      <c r="J212" s="1112"/>
      <c r="K212" s="1117"/>
      <c r="L212" s="1118"/>
      <c r="M212" s="1111"/>
      <c r="N212" s="1119"/>
      <c r="O212" s="1119"/>
      <c r="P212" s="1119"/>
      <c r="Q212" s="1117"/>
      <c r="R212" s="1118"/>
      <c r="S212" s="1118"/>
      <c r="T212" s="383"/>
      <c r="U212" s="383"/>
      <c r="V212" s="383"/>
      <c r="W212" s="1083"/>
      <c r="X212" s="1080"/>
      <c r="Y212" s="1080"/>
      <c r="Z212" s="1080"/>
      <c r="AA212" s="1080"/>
      <c r="AB212" s="1084"/>
    </row>
    <row r="213" spans="1:28" ht="15" customHeight="1" x14ac:dyDescent="0.2">
      <c r="A213" s="8" t="s">
        <v>221</v>
      </c>
      <c r="B213" s="379"/>
      <c r="C213" s="2232"/>
      <c r="D213" s="1148" t="s">
        <v>70</v>
      </c>
      <c r="E213" s="1118"/>
      <c r="F213" s="1118"/>
      <c r="G213" s="1118"/>
      <c r="H213" s="1112"/>
      <c r="I213" s="1112"/>
      <c r="J213" s="1112"/>
      <c r="K213" s="1117"/>
      <c r="L213" s="1118"/>
      <c r="M213" s="1111"/>
      <c r="N213" s="1119"/>
      <c r="O213" s="1119"/>
      <c r="P213" s="1119"/>
      <c r="Q213" s="1117"/>
      <c r="R213" s="1118"/>
      <c r="S213" s="1118"/>
      <c r="T213" s="383"/>
      <c r="U213" s="383"/>
      <c r="V213" s="383"/>
      <c r="W213" s="1085"/>
      <c r="X213" s="1081"/>
      <c r="Y213" s="1082"/>
      <c r="Z213" s="1082"/>
      <c r="AA213" s="1082"/>
      <c r="AB213" s="1086"/>
    </row>
    <row r="214" spans="1:28" ht="15" customHeight="1" thickBot="1" x14ac:dyDescent="0.25">
      <c r="A214" s="8" t="s">
        <v>221</v>
      </c>
      <c r="B214" s="379"/>
      <c r="C214" s="2232"/>
      <c r="D214" s="1148" t="s">
        <v>49</v>
      </c>
      <c r="E214" s="2022" t="s">
        <v>419</v>
      </c>
      <c r="F214" s="1862"/>
      <c r="G214" s="1862"/>
      <c r="H214" s="1862"/>
      <c r="I214" s="1862"/>
      <c r="J214" s="1862"/>
      <c r="K214" s="574"/>
      <c r="L214" s="1124"/>
      <c r="M214" s="1125"/>
      <c r="N214" s="824"/>
      <c r="O214" s="824"/>
      <c r="P214" s="824"/>
      <c r="Q214" s="1117"/>
      <c r="R214" s="1118"/>
      <c r="S214" s="1118"/>
      <c r="T214" s="383"/>
      <c r="U214" s="383"/>
      <c r="V214" s="383"/>
      <c r="W214" s="1087"/>
      <c r="X214" s="1088"/>
      <c r="Y214" s="1088"/>
      <c r="Z214" s="1088"/>
      <c r="AA214" s="1088"/>
      <c r="AB214" s="1089"/>
    </row>
    <row r="215" spans="1:28" ht="15" customHeight="1" x14ac:dyDescent="0.2">
      <c r="A215" s="8" t="s">
        <v>221</v>
      </c>
      <c r="B215" s="379"/>
      <c r="C215" s="1998"/>
      <c r="D215" s="1149" t="s">
        <v>10</v>
      </c>
      <c r="E215" s="1228"/>
      <c r="F215" s="1229"/>
      <c r="G215" s="1229"/>
      <c r="H215" s="1230"/>
      <c r="I215" s="1230"/>
      <c r="J215" s="1231"/>
      <c r="K215" s="1143"/>
      <c r="L215" s="826"/>
      <c r="M215" s="826"/>
      <c r="N215" s="494"/>
      <c r="O215" s="494"/>
      <c r="P215" s="496"/>
      <c r="Q215" s="1325"/>
      <c r="R215" s="1322"/>
      <c r="S215" s="1322"/>
      <c r="T215" s="1323"/>
      <c r="U215" s="1323"/>
      <c r="V215" s="1324"/>
      <c r="W215" s="1078"/>
      <c r="X215" s="1108"/>
      <c r="Y215" s="1108"/>
      <c r="Z215" s="1126"/>
      <c r="AA215" s="1126"/>
      <c r="AB215" s="1127"/>
    </row>
    <row r="216" spans="1:28" ht="15" customHeight="1" x14ac:dyDescent="0.2">
      <c r="A216" s="8" t="s">
        <v>221</v>
      </c>
      <c r="B216" s="379"/>
      <c r="C216" s="1998"/>
      <c r="D216" s="592" t="s">
        <v>69</v>
      </c>
      <c r="E216" s="1232"/>
      <c r="F216" s="1233"/>
      <c r="G216" s="1233"/>
      <c r="H216" s="1234"/>
      <c r="I216" s="1234"/>
      <c r="J216" s="1235"/>
      <c r="K216" s="1144">
        <v>103717</v>
      </c>
      <c r="L216" s="349">
        <v>211714</v>
      </c>
      <c r="M216" s="349">
        <v>192191</v>
      </c>
      <c r="N216" s="389">
        <v>1485096</v>
      </c>
      <c r="O216" s="389">
        <v>208887</v>
      </c>
      <c r="P216" s="422">
        <v>230165</v>
      </c>
      <c r="Q216" s="1349">
        <v>131090.4</v>
      </c>
      <c r="R216" s="1350">
        <v>305269.80000000005</v>
      </c>
      <c r="S216" s="1350">
        <v>606980.38</v>
      </c>
      <c r="T216" s="1350">
        <v>1287109.44</v>
      </c>
      <c r="U216" s="1351">
        <v>126243.36</v>
      </c>
      <c r="V216" s="1352">
        <v>227132.63999999998</v>
      </c>
      <c r="W216" s="1508">
        <v>119665</v>
      </c>
      <c r="X216" s="1509">
        <v>415598</v>
      </c>
      <c r="Y216" s="1509">
        <v>866862</v>
      </c>
      <c r="Z216" s="1509">
        <v>1505793</v>
      </c>
      <c r="AA216" s="1510">
        <v>234881</v>
      </c>
      <c r="AB216" s="1511">
        <v>242675</v>
      </c>
    </row>
    <row r="217" spans="1:28" ht="15" customHeight="1" x14ac:dyDescent="0.2">
      <c r="A217" s="8" t="s">
        <v>221</v>
      </c>
      <c r="B217" s="379"/>
      <c r="C217" s="1998"/>
      <c r="D217" s="592" t="s">
        <v>70</v>
      </c>
      <c r="E217" s="1232"/>
      <c r="F217" s="1233"/>
      <c r="G217" s="1233"/>
      <c r="H217" s="1234"/>
      <c r="I217" s="1234"/>
      <c r="J217" s="1235"/>
      <c r="K217" s="1144">
        <v>92892</v>
      </c>
      <c r="L217" s="349">
        <v>162213</v>
      </c>
      <c r="M217" s="349">
        <v>168631</v>
      </c>
      <c r="N217" s="389">
        <v>1431061</v>
      </c>
      <c r="O217" s="389">
        <v>19620</v>
      </c>
      <c r="P217" s="422">
        <v>237401</v>
      </c>
      <c r="Q217" s="1349">
        <v>125949.59999999999</v>
      </c>
      <c r="R217" s="1350">
        <v>249766.2</v>
      </c>
      <c r="S217" s="1350">
        <v>538265.62</v>
      </c>
      <c r="T217" s="1350">
        <v>1236634.56</v>
      </c>
      <c r="U217" s="1351">
        <v>121292.64</v>
      </c>
      <c r="V217" s="1352">
        <v>236403.36000000002</v>
      </c>
      <c r="W217" s="1508">
        <v>113993</v>
      </c>
      <c r="X217" s="1509">
        <v>326544</v>
      </c>
      <c r="Y217" s="1509">
        <v>782636</v>
      </c>
      <c r="Z217" s="1509">
        <v>1479894</v>
      </c>
      <c r="AA217" s="1510">
        <v>219842</v>
      </c>
      <c r="AB217" s="1511">
        <v>248400</v>
      </c>
    </row>
    <row r="218" spans="1:28" ht="15" customHeight="1" thickBot="1" x14ac:dyDescent="0.25">
      <c r="A218" s="8" t="s">
        <v>221</v>
      </c>
      <c r="B218" s="379"/>
      <c r="C218" s="1998"/>
      <c r="D218" s="593" t="s">
        <v>49</v>
      </c>
      <c r="E218" s="1236"/>
      <c r="F218" s="1237"/>
      <c r="G218" s="1237" t="s">
        <v>216</v>
      </c>
      <c r="H218" s="1238"/>
      <c r="I218" s="1238"/>
      <c r="J218" s="1239"/>
      <c r="K218" s="402">
        <v>196609</v>
      </c>
      <c r="L218" s="403">
        <v>373928</v>
      </c>
      <c r="M218" s="403">
        <v>360821</v>
      </c>
      <c r="N218" s="424">
        <v>2916157</v>
      </c>
      <c r="O218" s="424">
        <f>SUM(O216:O217)</f>
        <v>228507</v>
      </c>
      <c r="P218" s="1145">
        <v>467566</v>
      </c>
      <c r="Q218" s="1353">
        <v>257040</v>
      </c>
      <c r="R218" s="1354">
        <v>555036</v>
      </c>
      <c r="S218" s="1354">
        <v>1145246</v>
      </c>
      <c r="T218" s="1354">
        <v>2523744</v>
      </c>
      <c r="U218" s="1355">
        <v>247536</v>
      </c>
      <c r="V218" s="1356">
        <v>463536</v>
      </c>
      <c r="W218" s="1512">
        <v>233658</v>
      </c>
      <c r="X218" s="1513">
        <v>742142</v>
      </c>
      <c r="Y218" s="1513">
        <v>1649498</v>
      </c>
      <c r="Z218" s="1513">
        <v>2985687</v>
      </c>
      <c r="AA218" s="1514">
        <v>454723</v>
      </c>
      <c r="AB218" s="1515">
        <v>491075</v>
      </c>
    </row>
    <row r="219" spans="1:28" ht="13.5" thickBot="1" x14ac:dyDescent="0.25">
      <c r="A219" s="8" t="s">
        <v>220</v>
      </c>
      <c r="B219" s="379"/>
      <c r="C219" s="2232"/>
      <c r="D219" s="1150"/>
      <c r="E219" s="2173" t="s">
        <v>43</v>
      </c>
      <c r="F219" s="2173"/>
      <c r="G219" s="2173"/>
      <c r="H219" s="2173"/>
      <c r="I219" s="2173"/>
      <c r="J219" s="2173"/>
      <c r="K219" s="2173"/>
      <c r="L219" s="2173"/>
      <c r="M219" s="2173"/>
      <c r="N219" s="2173"/>
      <c r="O219" s="2173"/>
      <c r="P219" s="2173"/>
      <c r="Q219" s="2173"/>
      <c r="R219" s="2173"/>
      <c r="S219" s="2173"/>
      <c r="T219" s="2173"/>
      <c r="U219" s="2173"/>
      <c r="V219" s="2173"/>
      <c r="W219" s="2173"/>
      <c r="X219" s="2173"/>
      <c r="Y219" s="2173"/>
      <c r="Z219" s="2173"/>
      <c r="AA219" s="2173"/>
      <c r="AB219" s="2174"/>
    </row>
    <row r="220" spans="1:28" ht="13.5" thickBot="1" x14ac:dyDescent="0.25">
      <c r="A220" s="8" t="s">
        <v>220</v>
      </c>
      <c r="B220" s="379"/>
      <c r="C220" s="2417"/>
      <c r="D220" s="1150"/>
      <c r="E220" s="1955" t="s">
        <v>836</v>
      </c>
      <c r="F220" s="1955"/>
      <c r="G220" s="1955"/>
      <c r="H220" s="1955"/>
      <c r="I220" s="1955"/>
      <c r="J220" s="1955"/>
      <c r="K220" s="1955"/>
      <c r="L220" s="1955"/>
      <c r="M220" s="1955"/>
      <c r="N220" s="1955"/>
      <c r="O220" s="1955"/>
      <c r="P220" s="1955"/>
      <c r="Q220" s="1955"/>
      <c r="R220" s="1955"/>
      <c r="S220" s="1955"/>
      <c r="T220" s="1955"/>
      <c r="U220" s="1955"/>
      <c r="V220" s="1955"/>
      <c r="W220" s="1955"/>
      <c r="X220" s="1955"/>
      <c r="Y220" s="1955"/>
      <c r="Z220" s="1955"/>
      <c r="AA220" s="1955"/>
      <c r="AB220" s="1957"/>
    </row>
    <row r="221" spans="1:28" ht="16.5" customHeight="1" thickBot="1" x14ac:dyDescent="0.25">
      <c r="A221" s="8" t="s">
        <v>220</v>
      </c>
      <c r="B221" s="2309" t="s">
        <v>5</v>
      </c>
      <c r="C221" s="483" t="s">
        <v>144</v>
      </c>
      <c r="D221" s="483"/>
      <c r="E221" s="1907" t="s">
        <v>145</v>
      </c>
      <c r="F221" s="1908"/>
      <c r="G221" s="1908"/>
      <c r="H221" s="1908"/>
      <c r="I221" s="1908"/>
      <c r="J221" s="1909"/>
      <c r="K221" s="1942" t="s">
        <v>3</v>
      </c>
      <c r="L221" s="1943"/>
      <c r="M221" s="1943"/>
      <c r="N221" s="1943"/>
      <c r="O221" s="1943"/>
      <c r="P221" s="1944"/>
      <c r="Q221" s="1942" t="s">
        <v>146</v>
      </c>
      <c r="R221" s="1943"/>
      <c r="S221" s="1943"/>
      <c r="T221" s="1943"/>
      <c r="U221" s="1943"/>
      <c r="V221" s="1944"/>
      <c r="W221" s="1942" t="s">
        <v>147</v>
      </c>
      <c r="X221" s="1943"/>
      <c r="Y221" s="1943"/>
      <c r="Z221" s="1943"/>
      <c r="AA221" s="1943"/>
      <c r="AB221" s="1944"/>
    </row>
    <row r="222" spans="1:28" ht="13.5" thickBot="1" x14ac:dyDescent="0.25">
      <c r="A222" s="8" t="s">
        <v>220</v>
      </c>
      <c r="B222" s="2310"/>
      <c r="C222" s="835"/>
      <c r="D222" s="867"/>
      <c r="E222" s="1954"/>
      <c r="F222" s="1955"/>
      <c r="G222" s="1955"/>
      <c r="H222" s="1955"/>
      <c r="I222" s="1955"/>
      <c r="J222" s="1957"/>
      <c r="K222" s="1926"/>
      <c r="L222" s="1908"/>
      <c r="M222" s="1908"/>
      <c r="N222" s="1908"/>
      <c r="O222" s="1908"/>
      <c r="P222" s="1909"/>
      <c r="Q222" s="1926"/>
      <c r="R222" s="1908"/>
      <c r="S222" s="1908"/>
      <c r="T222" s="1908"/>
      <c r="U222" s="1908"/>
      <c r="V222" s="1909"/>
      <c r="W222" s="1926"/>
      <c r="X222" s="1908"/>
      <c r="Y222" s="1908"/>
      <c r="Z222" s="1908"/>
      <c r="AA222" s="1908"/>
      <c r="AB222" s="1909"/>
    </row>
    <row r="223" spans="1:28" ht="13.5" thickBot="1" x14ac:dyDescent="0.25">
      <c r="A223" s="8" t="s">
        <v>220</v>
      </c>
      <c r="B223" s="2309" t="s">
        <v>1</v>
      </c>
      <c r="C223" s="478" t="s">
        <v>0</v>
      </c>
      <c r="D223" s="483"/>
      <c r="E223" s="1916"/>
      <c r="F223" s="1917"/>
      <c r="G223" s="1917"/>
      <c r="H223" s="1917"/>
      <c r="I223" s="1917"/>
      <c r="J223" s="1917"/>
      <c r="K223" s="1917"/>
      <c r="L223" s="1917"/>
      <c r="M223" s="1917"/>
      <c r="N223" s="1917"/>
      <c r="O223" s="1917"/>
      <c r="P223" s="1917"/>
      <c r="Q223" s="1917"/>
      <c r="R223" s="1917"/>
      <c r="S223" s="1917"/>
      <c r="T223" s="1917"/>
      <c r="U223" s="1917"/>
      <c r="V223" s="1917"/>
      <c r="W223" s="1917"/>
      <c r="X223" s="1917"/>
      <c r="Y223" s="1917"/>
      <c r="Z223" s="1917"/>
      <c r="AA223" s="1917"/>
      <c r="AB223" s="1918"/>
    </row>
    <row r="224" spans="1:28" ht="13.5" thickBot="1" x14ac:dyDescent="0.25">
      <c r="A224" s="8" t="s">
        <v>220</v>
      </c>
      <c r="B224" s="2310"/>
      <c r="C224" s="868"/>
      <c r="D224" s="934"/>
      <c r="E224" s="1919"/>
      <c r="F224" s="1920"/>
      <c r="G224" s="1920"/>
      <c r="H224" s="1920"/>
      <c r="I224" s="1920"/>
      <c r="J224" s="1920"/>
      <c r="K224" s="1920"/>
      <c r="L224" s="1920"/>
      <c r="M224" s="1920"/>
      <c r="N224" s="1920"/>
      <c r="O224" s="1920"/>
      <c r="P224" s="1920"/>
      <c r="Q224" s="1920"/>
      <c r="R224" s="1920"/>
      <c r="S224" s="1920"/>
      <c r="T224" s="1920"/>
      <c r="U224" s="1920"/>
      <c r="V224" s="1920"/>
      <c r="W224" s="1920"/>
      <c r="X224" s="1920"/>
      <c r="Y224" s="1920"/>
      <c r="Z224" s="1920"/>
      <c r="AA224" s="1920"/>
      <c r="AB224" s="1921"/>
    </row>
    <row r="225" spans="1:28" x14ac:dyDescent="0.2">
      <c r="A225" s="8" t="s">
        <v>220</v>
      </c>
      <c r="B225" s="1912" t="s">
        <v>216</v>
      </c>
      <c r="C225" s="1889"/>
      <c r="D225" s="1889"/>
      <c r="E225" s="1889"/>
      <c r="F225" s="1889"/>
      <c r="G225" s="1889"/>
      <c r="H225" s="1889"/>
      <c r="I225" s="1889"/>
      <c r="J225" s="1889"/>
      <c r="K225" s="1889"/>
      <c r="L225" s="1889"/>
      <c r="M225" s="1889"/>
      <c r="N225" s="1889"/>
      <c r="O225" s="1889"/>
      <c r="P225" s="1889"/>
      <c r="Q225" s="1889"/>
      <c r="R225" s="1889"/>
      <c r="S225" s="1889"/>
      <c r="T225" s="1889"/>
      <c r="U225" s="1889"/>
      <c r="V225" s="1889"/>
      <c r="W225" s="1889"/>
      <c r="X225" s="1889"/>
      <c r="Y225" s="1889"/>
      <c r="Z225" s="1889"/>
      <c r="AA225" s="1889"/>
      <c r="AB225" s="1890"/>
    </row>
    <row r="226" spans="1:28" ht="13.5" thickBot="1" x14ac:dyDescent="0.25">
      <c r="A226" s="8" t="s">
        <v>220</v>
      </c>
      <c r="B226" s="1913"/>
      <c r="C226" s="1914"/>
      <c r="D226" s="1914"/>
      <c r="E226" s="1914"/>
      <c r="F226" s="1914"/>
      <c r="G226" s="1914"/>
      <c r="H226" s="1914"/>
      <c r="I226" s="1914"/>
      <c r="J226" s="1914"/>
      <c r="K226" s="1914"/>
      <c r="L226" s="1914"/>
      <c r="M226" s="1914"/>
      <c r="N226" s="1914"/>
      <c r="O226" s="1914"/>
      <c r="P226" s="1914"/>
      <c r="Q226" s="1914"/>
      <c r="R226" s="1914"/>
      <c r="S226" s="1914"/>
      <c r="T226" s="1914"/>
      <c r="U226" s="1914"/>
      <c r="V226" s="1914"/>
      <c r="W226" s="1914"/>
      <c r="X226" s="1914"/>
      <c r="Y226" s="1914"/>
      <c r="Z226" s="1914"/>
      <c r="AA226" s="1914"/>
      <c r="AB226" s="1915"/>
    </row>
    <row r="227" spans="1:28" ht="12.95" customHeight="1" thickBot="1" x14ac:dyDescent="0.25">
      <c r="A227" s="8" t="s">
        <v>220</v>
      </c>
      <c r="B227" s="911" t="s">
        <v>40</v>
      </c>
      <c r="C227" s="475" t="s">
        <v>39</v>
      </c>
      <c r="D227" s="480"/>
      <c r="E227" s="1878" t="s">
        <v>130</v>
      </c>
      <c r="F227" s="1883"/>
      <c r="G227" s="1883"/>
      <c r="H227" s="1883"/>
      <c r="I227" s="1883"/>
      <c r="J227" s="1884"/>
      <c r="K227" s="1878" t="s">
        <v>327</v>
      </c>
      <c r="L227" s="1879"/>
      <c r="M227" s="1879"/>
      <c r="N227" s="1879"/>
      <c r="O227" s="1879"/>
      <c r="P227" s="1880"/>
      <c r="Q227" s="1881" t="s">
        <v>163</v>
      </c>
      <c r="R227" s="1882"/>
      <c r="S227" s="1882"/>
      <c r="T227" s="1882"/>
      <c r="U227" s="1882"/>
      <c r="V227" s="1882"/>
      <c r="W227" s="1881" t="s">
        <v>162</v>
      </c>
      <c r="X227" s="1882"/>
      <c r="Y227" s="1882"/>
      <c r="Z227" s="1882"/>
      <c r="AA227" s="1882"/>
      <c r="AB227" s="1947"/>
    </row>
    <row r="228" spans="1:28" ht="13.5" customHeight="1" x14ac:dyDescent="0.2">
      <c r="A228" s="8" t="s">
        <v>220</v>
      </c>
      <c r="B228" s="1837" t="s">
        <v>56</v>
      </c>
      <c r="C228" s="1837" t="s">
        <v>1663</v>
      </c>
      <c r="D228" s="2203" t="s">
        <v>12</v>
      </c>
      <c r="E228" s="2046" t="s">
        <v>63</v>
      </c>
      <c r="F228" s="2047"/>
      <c r="G228" s="2047"/>
      <c r="H228" s="1927">
        <v>0.8</v>
      </c>
      <c r="I228" s="1928"/>
      <c r="J228" s="1929"/>
      <c r="K228" s="2038" t="s">
        <v>63</v>
      </c>
      <c r="L228" s="2039"/>
      <c r="M228" s="2039"/>
      <c r="N228" s="1888">
        <v>0.95</v>
      </c>
      <c r="O228" s="1889"/>
      <c r="P228" s="1890"/>
      <c r="Q228" s="1900">
        <v>0.8</v>
      </c>
      <c r="R228" s="1888"/>
      <c r="S228" s="1888"/>
      <c r="T228" s="1888"/>
      <c r="U228" s="1888"/>
      <c r="V228" s="1901"/>
      <c r="W228" s="1900">
        <v>0.84</v>
      </c>
      <c r="X228" s="1888"/>
      <c r="Y228" s="1888"/>
      <c r="Z228" s="1888"/>
      <c r="AA228" s="1888"/>
      <c r="AB228" s="1901"/>
    </row>
    <row r="229" spans="1:28" ht="13.5" thickBot="1" x14ac:dyDescent="0.25">
      <c r="A229" s="8" t="s">
        <v>220</v>
      </c>
      <c r="B229" s="1838"/>
      <c r="C229" s="1838"/>
      <c r="D229" s="2204"/>
      <c r="E229" s="1842" t="s">
        <v>64</v>
      </c>
      <c r="F229" s="2025"/>
      <c r="G229" s="2025"/>
      <c r="H229" s="1922">
        <v>0.7</v>
      </c>
      <c r="I229" s="1923"/>
      <c r="J229" s="1924"/>
      <c r="K229" s="1867" t="s">
        <v>64</v>
      </c>
      <c r="L229" s="1868"/>
      <c r="M229" s="1868"/>
      <c r="N229" s="2422">
        <v>0.85</v>
      </c>
      <c r="O229" s="2423"/>
      <c r="P229" s="2424"/>
      <c r="Q229" s="1885">
        <v>0.7</v>
      </c>
      <c r="R229" s="1886"/>
      <c r="S229" s="1886"/>
      <c r="T229" s="1886"/>
      <c r="U229" s="1886"/>
      <c r="V229" s="1887"/>
      <c r="W229" s="2043">
        <v>0.74</v>
      </c>
      <c r="X229" s="2044"/>
      <c r="Y229" s="2044"/>
      <c r="Z229" s="2044"/>
      <c r="AA229" s="2044"/>
      <c r="AB229" s="2045"/>
    </row>
    <row r="230" spans="1:28" ht="13.5" customHeight="1" x14ac:dyDescent="0.2">
      <c r="A230" s="8" t="s">
        <v>220</v>
      </c>
      <c r="B230" s="1838"/>
      <c r="C230" s="1838"/>
      <c r="D230" s="715" t="s">
        <v>10</v>
      </c>
      <c r="E230" s="2038" t="s">
        <v>106</v>
      </c>
      <c r="F230" s="2039"/>
      <c r="G230" s="2039"/>
      <c r="H230" s="2040">
        <v>0.7</v>
      </c>
      <c r="I230" s="2041"/>
      <c r="J230" s="2042"/>
      <c r="K230" s="2038" t="s">
        <v>121</v>
      </c>
      <c r="L230" s="2039"/>
      <c r="M230" s="2039"/>
      <c r="N230" s="2036">
        <v>0.77</v>
      </c>
      <c r="O230" s="2425"/>
      <c r="P230" s="2426"/>
      <c r="Q230" s="2035">
        <v>0.66</v>
      </c>
      <c r="R230" s="2036"/>
      <c r="S230" s="2036"/>
      <c r="T230" s="2036"/>
      <c r="U230" s="2036"/>
      <c r="V230" s="2037"/>
      <c r="W230" s="1900">
        <v>0.7</v>
      </c>
      <c r="X230" s="1888"/>
      <c r="Y230" s="1888"/>
      <c r="Z230" s="1888"/>
      <c r="AA230" s="1888"/>
      <c r="AB230" s="1901"/>
    </row>
    <row r="231" spans="1:28" ht="12.95" customHeight="1" thickBot="1" x14ac:dyDescent="0.25">
      <c r="A231" s="8" t="s">
        <v>220</v>
      </c>
      <c r="B231" s="1838"/>
      <c r="C231" s="1838"/>
      <c r="D231" s="825"/>
      <c r="E231" s="1867" t="s">
        <v>107</v>
      </c>
      <c r="F231" s="1868"/>
      <c r="G231" s="1868"/>
      <c r="H231" s="1897">
        <v>0.51</v>
      </c>
      <c r="I231" s="1898"/>
      <c r="J231" s="1899"/>
      <c r="K231" s="1867" t="s">
        <v>107</v>
      </c>
      <c r="L231" s="1868"/>
      <c r="M231" s="1868"/>
      <c r="N231" s="2051">
        <v>0.63</v>
      </c>
      <c r="O231" s="2052"/>
      <c r="P231" s="2053"/>
      <c r="Q231" s="1885">
        <v>0.62</v>
      </c>
      <c r="R231" s="1886"/>
      <c r="S231" s="1886"/>
      <c r="T231" s="1886"/>
      <c r="U231" s="1886"/>
      <c r="V231" s="1887"/>
      <c r="W231" s="2043">
        <v>0.61</v>
      </c>
      <c r="X231" s="2044"/>
      <c r="Y231" s="2044"/>
      <c r="Z231" s="2044"/>
      <c r="AA231" s="2044"/>
      <c r="AB231" s="2045"/>
    </row>
    <row r="232" spans="1:28" ht="13.5" thickBot="1" x14ac:dyDescent="0.25">
      <c r="A232" s="8" t="s">
        <v>220</v>
      </c>
      <c r="B232" s="1838"/>
      <c r="C232" s="1838"/>
      <c r="D232" s="2032" t="s">
        <v>7</v>
      </c>
      <c r="E232" s="2033"/>
      <c r="F232" s="2033"/>
      <c r="G232" s="2033"/>
      <c r="H232" s="2033"/>
      <c r="I232" s="2033"/>
      <c r="J232" s="2033"/>
      <c r="K232" s="2033"/>
      <c r="L232" s="2033"/>
      <c r="M232" s="2033"/>
      <c r="N232" s="2033"/>
      <c r="O232" s="2033"/>
      <c r="P232" s="2033"/>
      <c r="Q232" s="2033"/>
      <c r="R232" s="2033"/>
      <c r="S232" s="2033"/>
      <c r="T232" s="2033"/>
      <c r="U232" s="2033"/>
      <c r="V232" s="2033"/>
      <c r="W232" s="2033"/>
      <c r="X232" s="2033"/>
      <c r="Y232" s="2033"/>
      <c r="Z232" s="2033"/>
      <c r="AA232" s="2033"/>
      <c r="AB232" s="2034"/>
    </row>
    <row r="233" spans="1:28" ht="13.5" customHeight="1" thickBot="1" x14ac:dyDescent="0.25">
      <c r="A233" s="8" t="s">
        <v>220</v>
      </c>
      <c r="B233" s="1838"/>
      <c r="C233" s="909"/>
      <c r="D233" s="1954" t="s">
        <v>38</v>
      </c>
      <c r="E233" s="1955"/>
      <c r="F233" s="1955"/>
      <c r="G233" s="1955"/>
      <c r="H233" s="1955"/>
      <c r="I233" s="1955"/>
      <c r="J233" s="1955"/>
      <c r="K233" s="1955"/>
      <c r="L233" s="1955"/>
      <c r="M233" s="1955"/>
      <c r="N233" s="1955"/>
      <c r="O233" s="1955"/>
      <c r="P233" s="1955"/>
      <c r="Q233" s="1955"/>
      <c r="R233" s="1955"/>
      <c r="S233" s="1955"/>
      <c r="T233" s="1955"/>
      <c r="U233" s="1955"/>
      <c r="V233" s="1955"/>
      <c r="W233" s="1955"/>
      <c r="X233" s="1955"/>
      <c r="Y233" s="1955"/>
      <c r="Z233" s="1955"/>
      <c r="AA233" s="1955"/>
      <c r="AB233" s="1957"/>
    </row>
    <row r="234" spans="1:28" ht="16.5" customHeight="1" thickBot="1" x14ac:dyDescent="0.25">
      <c r="A234" s="8" t="s">
        <v>220</v>
      </c>
      <c r="B234" s="1838"/>
      <c r="C234" s="859" t="s">
        <v>37</v>
      </c>
      <c r="D234" s="859"/>
      <c r="E234" s="1878" t="s">
        <v>89</v>
      </c>
      <c r="F234" s="1883"/>
      <c r="G234" s="1883"/>
      <c r="H234" s="1883"/>
      <c r="I234" s="1883"/>
      <c r="J234" s="1884"/>
      <c r="K234" s="1878" t="s">
        <v>327</v>
      </c>
      <c r="L234" s="1879"/>
      <c r="M234" s="1879"/>
      <c r="N234" s="1879"/>
      <c r="O234" s="1879"/>
      <c r="P234" s="1880"/>
      <c r="Q234" s="1881" t="s">
        <v>163</v>
      </c>
      <c r="R234" s="1882"/>
      <c r="S234" s="1882"/>
      <c r="T234" s="1882"/>
      <c r="U234" s="1882"/>
      <c r="V234" s="1882"/>
      <c r="W234" s="1881" t="s">
        <v>162</v>
      </c>
      <c r="X234" s="1882"/>
      <c r="Y234" s="1882"/>
      <c r="Z234" s="1882"/>
      <c r="AA234" s="1882"/>
      <c r="AB234" s="1947"/>
    </row>
    <row r="235" spans="1:28" ht="12.95" customHeight="1" x14ac:dyDescent="0.2">
      <c r="A235" s="8" t="s">
        <v>220</v>
      </c>
      <c r="B235" s="1838"/>
      <c r="C235" s="738" t="s">
        <v>57</v>
      </c>
      <c r="D235" s="398" t="s">
        <v>12</v>
      </c>
      <c r="E235" s="2046" t="s">
        <v>36</v>
      </c>
      <c r="F235" s="2047"/>
      <c r="G235" s="1928" t="s">
        <v>441</v>
      </c>
      <c r="H235" s="1928"/>
      <c r="I235" s="1928"/>
      <c r="J235" s="1929"/>
      <c r="K235" s="2038" t="s">
        <v>36</v>
      </c>
      <c r="L235" s="2039"/>
      <c r="M235" s="1956" t="s">
        <v>8</v>
      </c>
      <c r="N235" s="1956"/>
      <c r="O235" s="1956"/>
      <c r="P235" s="2029"/>
      <c r="Q235" s="2026" t="s">
        <v>9</v>
      </c>
      <c r="R235" s="2027"/>
      <c r="S235" s="2027"/>
      <c r="T235" s="2027"/>
      <c r="U235" s="2027"/>
      <c r="V235" s="2028"/>
      <c r="W235" s="2026" t="s">
        <v>9</v>
      </c>
      <c r="X235" s="2027"/>
      <c r="Y235" s="2027"/>
      <c r="Z235" s="2027"/>
      <c r="AA235" s="2027"/>
      <c r="AB235" s="2028"/>
    </row>
    <row r="236" spans="1:28" ht="12.95" customHeight="1" x14ac:dyDescent="0.2">
      <c r="A236" s="8" t="s">
        <v>220</v>
      </c>
      <c r="B236" s="1838"/>
      <c r="C236" s="739" t="s">
        <v>122</v>
      </c>
      <c r="D236" s="398"/>
      <c r="E236" s="1851" t="s">
        <v>65</v>
      </c>
      <c r="F236" s="1852"/>
      <c r="G236" s="1849" t="s">
        <v>442</v>
      </c>
      <c r="H236" s="1849"/>
      <c r="I236" s="1849"/>
      <c r="J236" s="1850"/>
      <c r="K236" s="1846" t="s">
        <v>65</v>
      </c>
      <c r="L236" s="1847"/>
      <c r="M236" s="2009" t="s">
        <v>9</v>
      </c>
      <c r="N236" s="2009"/>
      <c r="O236" s="2009"/>
      <c r="P236" s="2010"/>
      <c r="Q236" s="2011" t="s">
        <v>9</v>
      </c>
      <c r="R236" s="2012"/>
      <c r="S236" s="2012"/>
      <c r="T236" s="2012"/>
      <c r="U236" s="2012"/>
      <c r="V236" s="2013"/>
      <c r="W236" s="2011" t="s">
        <v>11</v>
      </c>
      <c r="X236" s="2012"/>
      <c r="Y236" s="2012"/>
      <c r="Z236" s="2012"/>
      <c r="AA236" s="2012"/>
      <c r="AB236" s="2013"/>
    </row>
    <row r="237" spans="1:28" ht="12.95" customHeight="1" thickBot="1" x14ac:dyDescent="0.25">
      <c r="A237" s="8" t="s">
        <v>220</v>
      </c>
      <c r="B237" s="1838"/>
      <c r="C237" s="739" t="s">
        <v>123</v>
      </c>
      <c r="D237" s="398"/>
      <c r="E237" s="1842" t="s">
        <v>66</v>
      </c>
      <c r="F237" s="2025"/>
      <c r="G237" s="1923" t="s">
        <v>441</v>
      </c>
      <c r="H237" s="1923"/>
      <c r="I237" s="1923"/>
      <c r="J237" s="1924"/>
      <c r="K237" s="1867" t="s">
        <v>66</v>
      </c>
      <c r="L237" s="1868"/>
      <c r="M237" s="2044" t="s">
        <v>9</v>
      </c>
      <c r="N237" s="2044"/>
      <c r="O237" s="2044"/>
      <c r="P237" s="2045"/>
      <c r="Q237" s="2054" t="s">
        <v>9</v>
      </c>
      <c r="R237" s="2055"/>
      <c r="S237" s="2055"/>
      <c r="T237" s="2055"/>
      <c r="U237" s="2055"/>
      <c r="V237" s="2056"/>
      <c r="W237" s="2054" t="s">
        <v>11</v>
      </c>
      <c r="X237" s="2055"/>
      <c r="Y237" s="2055"/>
      <c r="Z237" s="2055"/>
      <c r="AA237" s="2055"/>
      <c r="AB237" s="2056"/>
    </row>
    <row r="238" spans="1:28" ht="12.95" customHeight="1" x14ac:dyDescent="0.2">
      <c r="A238" s="8" t="s">
        <v>220</v>
      </c>
      <c r="B238" s="1838"/>
      <c r="C238" s="739" t="s">
        <v>58</v>
      </c>
      <c r="D238" s="831" t="s">
        <v>10</v>
      </c>
      <c r="E238" s="2038" t="s">
        <v>108</v>
      </c>
      <c r="F238" s="2039"/>
      <c r="G238" s="2041" t="s">
        <v>132</v>
      </c>
      <c r="H238" s="2041"/>
      <c r="I238" s="2041"/>
      <c r="J238" s="2042"/>
      <c r="K238" s="2038" t="s">
        <v>950</v>
      </c>
      <c r="L238" s="2039"/>
      <c r="M238" s="1956" t="s">
        <v>8</v>
      </c>
      <c r="N238" s="1956"/>
      <c r="O238" s="1956"/>
      <c r="P238" s="2029"/>
      <c r="Q238" s="2026" t="s">
        <v>8</v>
      </c>
      <c r="R238" s="2027"/>
      <c r="S238" s="2027"/>
      <c r="T238" s="2027"/>
      <c r="U238" s="2027"/>
      <c r="V238" s="2028"/>
      <c r="W238" s="2026" t="s">
        <v>1454</v>
      </c>
      <c r="X238" s="2027"/>
      <c r="Y238" s="2027"/>
      <c r="Z238" s="2027"/>
      <c r="AA238" s="2027"/>
      <c r="AB238" s="2028"/>
    </row>
    <row r="239" spans="1:28" ht="12.95" customHeight="1" x14ac:dyDescent="0.2">
      <c r="A239" s="8" t="s">
        <v>220</v>
      </c>
      <c r="B239" s="1838"/>
      <c r="C239" s="739"/>
      <c r="D239" s="715"/>
      <c r="E239" s="1846" t="s">
        <v>109</v>
      </c>
      <c r="F239" s="1847"/>
      <c r="G239" s="1981" t="s">
        <v>9</v>
      </c>
      <c r="H239" s="1981"/>
      <c r="I239" s="1981"/>
      <c r="J239" s="2142"/>
      <c r="K239" s="1846" t="s">
        <v>951</v>
      </c>
      <c r="L239" s="1847"/>
      <c r="M239" s="2009" t="s">
        <v>9</v>
      </c>
      <c r="N239" s="2009"/>
      <c r="O239" s="2009"/>
      <c r="P239" s="2010"/>
      <c r="Q239" s="2011" t="s">
        <v>8</v>
      </c>
      <c r="R239" s="2012"/>
      <c r="S239" s="2012"/>
      <c r="T239" s="2012"/>
      <c r="U239" s="2012"/>
      <c r="V239" s="2013"/>
      <c r="W239" s="2011" t="s">
        <v>9</v>
      </c>
      <c r="X239" s="2012"/>
      <c r="Y239" s="2012"/>
      <c r="Z239" s="2012"/>
      <c r="AA239" s="2012"/>
      <c r="AB239" s="2013"/>
    </row>
    <row r="240" spans="1:28" ht="12.95" customHeight="1" thickBot="1" x14ac:dyDescent="0.25">
      <c r="A240" s="8" t="s">
        <v>220</v>
      </c>
      <c r="B240" s="1838"/>
      <c r="C240" s="456"/>
      <c r="D240" s="850"/>
      <c r="E240" s="1867" t="s">
        <v>110</v>
      </c>
      <c r="F240" s="1868"/>
      <c r="G240" s="1898" t="s">
        <v>9</v>
      </c>
      <c r="H240" s="1898"/>
      <c r="I240" s="1898"/>
      <c r="J240" s="1899"/>
      <c r="K240" s="1867" t="s">
        <v>952</v>
      </c>
      <c r="L240" s="1868"/>
      <c r="M240" s="2044" t="s">
        <v>11</v>
      </c>
      <c r="N240" s="2044"/>
      <c r="O240" s="2044"/>
      <c r="P240" s="2045"/>
      <c r="Q240" s="2297" t="s">
        <v>11</v>
      </c>
      <c r="R240" s="2298"/>
      <c r="S240" s="2298"/>
      <c r="T240" s="2298"/>
      <c r="U240" s="2298"/>
      <c r="V240" s="2299"/>
      <c r="W240" s="2054" t="s">
        <v>8</v>
      </c>
      <c r="X240" s="2055"/>
      <c r="Y240" s="2055"/>
      <c r="Z240" s="2055"/>
      <c r="AA240" s="2055"/>
      <c r="AB240" s="2056"/>
    </row>
    <row r="241" spans="1:28" ht="12.95" customHeight="1" thickBot="1" x14ac:dyDescent="0.25">
      <c r="A241" s="8" t="s">
        <v>220</v>
      </c>
      <c r="B241" s="936" t="s">
        <v>6</v>
      </c>
      <c r="C241" s="851"/>
      <c r="D241" s="2032" t="s">
        <v>7</v>
      </c>
      <c r="E241" s="2033"/>
      <c r="F241" s="2033"/>
      <c r="G241" s="2033"/>
      <c r="H241" s="2033"/>
      <c r="I241" s="2033"/>
      <c r="J241" s="2033"/>
      <c r="K241" s="2033"/>
      <c r="L241" s="2033"/>
      <c r="M241" s="2033"/>
      <c r="N241" s="2033"/>
      <c r="O241" s="2033"/>
      <c r="P241" s="2033"/>
      <c r="Q241" s="2033"/>
      <c r="R241" s="2033"/>
      <c r="S241" s="2033"/>
      <c r="T241" s="2033"/>
      <c r="U241" s="2033"/>
      <c r="V241" s="2033"/>
      <c r="W241" s="2033"/>
      <c r="X241" s="2033"/>
      <c r="Y241" s="2033"/>
      <c r="Z241" s="2033"/>
      <c r="AA241" s="2033"/>
      <c r="AB241" s="2034"/>
    </row>
    <row r="242" spans="1:28" ht="12.95" customHeight="1" thickBot="1" x14ac:dyDescent="0.25">
      <c r="A242" s="8" t="s">
        <v>220</v>
      </c>
      <c r="B242" s="1099">
        <v>0.1</v>
      </c>
      <c r="C242" s="937"/>
      <c r="D242" s="1954" t="s">
        <v>67</v>
      </c>
      <c r="E242" s="1955"/>
      <c r="F242" s="1955"/>
      <c r="G242" s="1955"/>
      <c r="H242" s="1955"/>
      <c r="I242" s="1955"/>
      <c r="J242" s="1955"/>
      <c r="K242" s="1955"/>
      <c r="L242" s="1955"/>
      <c r="M242" s="1955"/>
      <c r="N242" s="1955"/>
      <c r="O242" s="1955"/>
      <c r="P242" s="1955"/>
      <c r="Q242" s="1955"/>
      <c r="R242" s="1955"/>
      <c r="S242" s="1955"/>
      <c r="T242" s="1955"/>
      <c r="U242" s="1955"/>
      <c r="V242" s="1955"/>
      <c r="W242" s="1955"/>
      <c r="X242" s="1955"/>
      <c r="Y242" s="1955"/>
      <c r="Z242" s="1955"/>
      <c r="AA242" s="1955"/>
      <c r="AB242" s="1957"/>
    </row>
    <row r="243" spans="1:28" ht="15" customHeight="1" thickBot="1" x14ac:dyDescent="0.25">
      <c r="A243" s="8" t="s">
        <v>220</v>
      </c>
      <c r="B243" s="2309" t="s">
        <v>5</v>
      </c>
      <c r="C243" s="938" t="s">
        <v>994</v>
      </c>
      <c r="D243" s="938"/>
      <c r="E243" s="2139" t="s">
        <v>4</v>
      </c>
      <c r="F243" s="2140"/>
      <c r="G243" s="2140"/>
      <c r="H243" s="2140"/>
      <c r="I243" s="2140"/>
      <c r="J243" s="2141"/>
      <c r="K243" s="2145" t="s">
        <v>3</v>
      </c>
      <c r="L243" s="2146"/>
      <c r="M243" s="2146"/>
      <c r="N243" s="2146"/>
      <c r="O243" s="2146"/>
      <c r="P243" s="2147"/>
      <c r="Q243" s="1907" t="s">
        <v>150</v>
      </c>
      <c r="R243" s="2143"/>
      <c r="S243" s="2143"/>
      <c r="T243" s="2143"/>
      <c r="U243" s="2143"/>
      <c r="V243" s="2144"/>
      <c r="W243" s="939"/>
      <c r="X243" s="939"/>
      <c r="Y243" s="939"/>
      <c r="Z243" s="939"/>
      <c r="AA243" s="939"/>
      <c r="AB243" s="483" t="s">
        <v>149</v>
      </c>
    </row>
    <row r="244" spans="1:28" ht="13.5" thickBot="1" x14ac:dyDescent="0.25">
      <c r="A244" s="8" t="s">
        <v>220</v>
      </c>
      <c r="B244" s="2310"/>
      <c r="C244" s="940"/>
      <c r="D244" s="868"/>
      <c r="E244" s="2151"/>
      <c r="F244" s="2140"/>
      <c r="G244" s="2140"/>
      <c r="H244" s="2140"/>
      <c r="I244" s="2140"/>
      <c r="J244" s="2141"/>
      <c r="K244" s="2048"/>
      <c r="L244" s="2049"/>
      <c r="M244" s="2049"/>
      <c r="N244" s="2049"/>
      <c r="O244" s="2049"/>
      <c r="P244" s="2050"/>
      <c r="Q244" s="2048"/>
      <c r="R244" s="2049"/>
      <c r="S244" s="2049"/>
      <c r="T244" s="2049"/>
      <c r="U244" s="2049"/>
      <c r="V244" s="2050"/>
      <c r="W244" s="941"/>
      <c r="X244" s="941"/>
      <c r="Y244" s="941"/>
      <c r="Z244" s="941"/>
      <c r="AA244" s="941"/>
      <c r="AB244" s="869"/>
    </row>
    <row r="245" spans="1:28" ht="13.5" thickBot="1" x14ac:dyDescent="0.25">
      <c r="A245" s="8" t="s">
        <v>220</v>
      </c>
      <c r="B245" s="2309" t="s">
        <v>1</v>
      </c>
      <c r="C245" s="938" t="s">
        <v>0</v>
      </c>
      <c r="D245" s="483"/>
      <c r="E245" s="1916"/>
      <c r="F245" s="1917"/>
      <c r="G245" s="1917"/>
      <c r="H245" s="1917"/>
      <c r="I245" s="1917"/>
      <c r="J245" s="1917"/>
      <c r="K245" s="1917"/>
      <c r="L245" s="1917"/>
      <c r="M245" s="1917"/>
      <c r="N245" s="1917"/>
      <c r="O245" s="1917"/>
      <c r="P245" s="1917"/>
      <c r="Q245" s="1917"/>
      <c r="R245" s="1917"/>
      <c r="S245" s="1917"/>
      <c r="T245" s="1917"/>
      <c r="U245" s="1917"/>
      <c r="V245" s="1917"/>
      <c r="W245" s="1917"/>
      <c r="X245" s="1917"/>
      <c r="Y245" s="1917"/>
      <c r="Z245" s="1917"/>
      <c r="AA245" s="1917"/>
      <c r="AB245" s="1918"/>
    </row>
    <row r="246" spans="1:28" ht="13.5" thickBot="1" x14ac:dyDescent="0.25">
      <c r="A246" s="8" t="s">
        <v>220</v>
      </c>
      <c r="B246" s="2310"/>
      <c r="C246" s="868"/>
      <c r="D246" s="934"/>
      <c r="E246" s="1919"/>
      <c r="F246" s="1920"/>
      <c r="G246" s="1920"/>
      <c r="H246" s="1920"/>
      <c r="I246" s="1920"/>
      <c r="J246" s="1920"/>
      <c r="K246" s="1920"/>
      <c r="L246" s="1920"/>
      <c r="M246" s="1920"/>
      <c r="N246" s="1920"/>
      <c r="O246" s="1920"/>
      <c r="P246" s="1920"/>
      <c r="Q246" s="1920"/>
      <c r="R246" s="1920"/>
      <c r="S246" s="1920"/>
      <c r="T246" s="1920"/>
      <c r="U246" s="1920"/>
      <c r="V246" s="1920"/>
      <c r="W246" s="1920"/>
      <c r="X246" s="1920"/>
      <c r="Y246" s="1920"/>
      <c r="Z246" s="1920"/>
      <c r="AA246" s="1920"/>
      <c r="AB246" s="1921"/>
    </row>
    <row r="247" spans="1:28" x14ac:dyDescent="0.2">
      <c r="A247" s="8" t="s">
        <v>220</v>
      </c>
      <c r="B247" s="1912"/>
      <c r="C247" s="1889"/>
      <c r="D247" s="1889"/>
      <c r="E247" s="1889"/>
      <c r="F247" s="1889"/>
      <c r="G247" s="1889"/>
      <c r="H247" s="1889"/>
      <c r="I247" s="1889"/>
      <c r="J247" s="1889"/>
      <c r="K247" s="1889"/>
      <c r="L247" s="1889"/>
      <c r="M247" s="1889"/>
      <c r="N247" s="1889"/>
      <c r="O247" s="1889"/>
      <c r="P247" s="1889"/>
      <c r="Q247" s="1889"/>
      <c r="R247" s="1889"/>
      <c r="S247" s="1889"/>
      <c r="T247" s="1889"/>
      <c r="U247" s="1889"/>
      <c r="V247" s="1889"/>
      <c r="W247" s="1889"/>
      <c r="X247" s="1889"/>
      <c r="Y247" s="1889"/>
      <c r="Z247" s="1889"/>
      <c r="AA247" s="1889"/>
      <c r="AB247" s="1890"/>
    </row>
    <row r="248" spans="1:28" ht="13.5" thickBot="1" x14ac:dyDescent="0.25">
      <c r="A248" s="8" t="s">
        <v>220</v>
      </c>
      <c r="B248" s="1913"/>
      <c r="C248" s="1914"/>
      <c r="D248" s="1914"/>
      <c r="E248" s="1914"/>
      <c r="F248" s="1914"/>
      <c r="G248" s="1914"/>
      <c r="H248" s="1914"/>
      <c r="I248" s="1914"/>
      <c r="J248" s="1914"/>
      <c r="K248" s="1914"/>
      <c r="L248" s="1914"/>
      <c r="M248" s="1914"/>
      <c r="N248" s="1914"/>
      <c r="O248" s="1914"/>
      <c r="P248" s="1914"/>
      <c r="Q248" s="1914"/>
      <c r="R248" s="1914"/>
      <c r="S248" s="1914"/>
      <c r="T248" s="1914"/>
      <c r="U248" s="1914"/>
      <c r="V248" s="1914"/>
      <c r="W248" s="1914"/>
      <c r="X248" s="1914"/>
      <c r="Y248" s="1914"/>
      <c r="Z248" s="1914"/>
      <c r="AA248" s="1914"/>
      <c r="AB248" s="1915"/>
    </row>
    <row r="249" spans="1:28" ht="12.95" customHeight="1" thickBot="1" x14ac:dyDescent="0.25">
      <c r="A249" s="8" t="s">
        <v>220</v>
      </c>
      <c r="B249" s="911" t="s">
        <v>35</v>
      </c>
      <c r="C249" s="475" t="s">
        <v>34</v>
      </c>
      <c r="D249" s="480"/>
      <c r="E249" s="1878" t="s">
        <v>445</v>
      </c>
      <c r="F249" s="1883"/>
      <c r="G249" s="1883"/>
      <c r="H249" s="1883"/>
      <c r="I249" s="1883"/>
      <c r="J249" s="1884"/>
      <c r="K249" s="1878" t="s">
        <v>327</v>
      </c>
      <c r="L249" s="1879"/>
      <c r="M249" s="1879"/>
      <c r="N249" s="1879"/>
      <c r="O249" s="1879"/>
      <c r="P249" s="1880"/>
      <c r="Q249" s="1881" t="s">
        <v>163</v>
      </c>
      <c r="R249" s="1882"/>
      <c r="S249" s="1882"/>
      <c r="T249" s="1882"/>
      <c r="U249" s="1882"/>
      <c r="V249" s="1882"/>
      <c r="W249" s="1881" t="s">
        <v>162</v>
      </c>
      <c r="X249" s="1882"/>
      <c r="Y249" s="1882"/>
      <c r="Z249" s="1882"/>
      <c r="AA249" s="1882"/>
      <c r="AB249" s="1947"/>
    </row>
    <row r="250" spans="1:28" ht="12.95" customHeight="1" thickBot="1" x14ac:dyDescent="0.25">
      <c r="A250" s="8" t="s">
        <v>220</v>
      </c>
      <c r="B250" s="734"/>
      <c r="C250" s="479"/>
      <c r="D250" s="474"/>
      <c r="E250" s="893" t="s">
        <v>18</v>
      </c>
      <c r="F250" s="891" t="s">
        <v>17</v>
      </c>
      <c r="G250" s="891" t="s">
        <v>16</v>
      </c>
      <c r="H250" s="891" t="s">
        <v>15</v>
      </c>
      <c r="I250" s="891" t="s">
        <v>14</v>
      </c>
      <c r="J250" s="892" t="s">
        <v>13</v>
      </c>
      <c r="K250" s="893" t="s">
        <v>18</v>
      </c>
      <c r="L250" s="891" t="s">
        <v>17</v>
      </c>
      <c r="M250" s="894" t="s">
        <v>16</v>
      </c>
      <c r="N250" s="891" t="s">
        <v>15</v>
      </c>
      <c r="O250" s="891" t="s">
        <v>14</v>
      </c>
      <c r="P250" s="892" t="s">
        <v>13</v>
      </c>
      <c r="Q250" s="893" t="s">
        <v>18</v>
      </c>
      <c r="R250" s="891" t="s">
        <v>17</v>
      </c>
      <c r="S250" s="891" t="s">
        <v>16</v>
      </c>
      <c r="T250" s="891" t="s">
        <v>15</v>
      </c>
      <c r="U250" s="891" t="s">
        <v>14</v>
      </c>
      <c r="V250" s="892" t="s">
        <v>13</v>
      </c>
      <c r="W250" s="893" t="s">
        <v>18</v>
      </c>
      <c r="X250" s="891" t="s">
        <v>17</v>
      </c>
      <c r="Y250" s="891" t="s">
        <v>16</v>
      </c>
      <c r="Z250" s="891" t="s">
        <v>15</v>
      </c>
      <c r="AA250" s="891" t="s">
        <v>14</v>
      </c>
      <c r="AB250" s="892" t="s">
        <v>13</v>
      </c>
    </row>
    <row r="251" spans="1:28" ht="13.5" customHeight="1" thickBot="1" x14ac:dyDescent="0.25">
      <c r="A251" s="8" t="s">
        <v>220</v>
      </c>
      <c r="B251" s="1980" t="s">
        <v>59</v>
      </c>
      <c r="C251" s="2137" t="s">
        <v>133</v>
      </c>
      <c r="D251" s="472" t="s">
        <v>12</v>
      </c>
      <c r="E251" s="2030" t="s">
        <v>444</v>
      </c>
      <c r="F251" s="1978"/>
      <c r="G251" s="1978"/>
      <c r="H251" s="1978"/>
      <c r="I251" s="1978"/>
      <c r="J251" s="1979"/>
      <c r="K251" s="942" t="s">
        <v>9</v>
      </c>
      <c r="L251" s="943" t="s">
        <v>846</v>
      </c>
      <c r="M251" s="943" t="s">
        <v>846</v>
      </c>
      <c r="N251" s="943" t="s">
        <v>845</v>
      </c>
      <c r="O251" s="943" t="s">
        <v>846</v>
      </c>
      <c r="P251" s="944" t="s">
        <v>846</v>
      </c>
      <c r="Q251" s="1295" t="s">
        <v>166</v>
      </c>
      <c r="R251" s="1296" t="s">
        <v>167</v>
      </c>
      <c r="S251" s="1296" t="s">
        <v>167</v>
      </c>
      <c r="T251" s="1296" t="s">
        <v>166</v>
      </c>
      <c r="U251" s="1296" t="s">
        <v>167</v>
      </c>
      <c r="V251" s="1297" t="s">
        <v>167</v>
      </c>
      <c r="W251" s="945" t="s">
        <v>134</v>
      </c>
      <c r="X251" s="798" t="s">
        <v>134</v>
      </c>
      <c r="Y251" s="798" t="s">
        <v>134</v>
      </c>
      <c r="Z251" s="798" t="s">
        <v>134</v>
      </c>
      <c r="AA251" s="798" t="s">
        <v>134</v>
      </c>
      <c r="AB251" s="946" t="s">
        <v>134</v>
      </c>
    </row>
    <row r="252" spans="1:28" ht="13.5" customHeight="1" thickBot="1" x14ac:dyDescent="0.25">
      <c r="A252" s="8" t="s">
        <v>220</v>
      </c>
      <c r="B252" s="1980"/>
      <c r="C252" s="2138"/>
      <c r="D252" s="398" t="s">
        <v>10</v>
      </c>
      <c r="E252" s="399" t="s">
        <v>9</v>
      </c>
      <c r="F252" s="404" t="s">
        <v>845</v>
      </c>
      <c r="G252" s="404" t="s">
        <v>846</v>
      </c>
      <c r="H252" s="404" t="s">
        <v>844</v>
      </c>
      <c r="I252" s="404" t="s">
        <v>846</v>
      </c>
      <c r="J252" s="405" t="s">
        <v>846</v>
      </c>
      <c r="K252" s="402" t="s">
        <v>846</v>
      </c>
      <c r="L252" s="403" t="s">
        <v>846</v>
      </c>
      <c r="M252" s="403" t="s">
        <v>846</v>
      </c>
      <c r="N252" s="403" t="s">
        <v>846</v>
      </c>
      <c r="O252" s="403" t="s">
        <v>846</v>
      </c>
      <c r="P252" s="470" t="s">
        <v>846</v>
      </c>
      <c r="Q252" s="399" t="s">
        <v>1228</v>
      </c>
      <c r="R252" s="404" t="s">
        <v>1226</v>
      </c>
      <c r="S252" s="404" t="s">
        <v>1229</v>
      </c>
      <c r="T252" s="404" t="s">
        <v>1230</v>
      </c>
      <c r="U252" s="404" t="s">
        <v>1231</v>
      </c>
      <c r="V252" s="405" t="s">
        <v>134</v>
      </c>
      <c r="W252" s="399" t="s">
        <v>1226</v>
      </c>
      <c r="X252" s="404" t="s">
        <v>1226</v>
      </c>
      <c r="Y252" s="404" t="s">
        <v>1230</v>
      </c>
      <c r="Z252" s="404" t="s">
        <v>1455</v>
      </c>
      <c r="AA252" s="404" t="s">
        <v>1230</v>
      </c>
      <c r="AB252" s="946" t="s">
        <v>134</v>
      </c>
    </row>
    <row r="253" spans="1:28" ht="13.5" customHeight="1" thickBot="1" x14ac:dyDescent="0.25">
      <c r="A253" s="8" t="s">
        <v>220</v>
      </c>
      <c r="B253" s="1980"/>
      <c r="C253" s="2138"/>
      <c r="D253" s="2032" t="s">
        <v>7</v>
      </c>
      <c r="E253" s="2033"/>
      <c r="F253" s="2033"/>
      <c r="G253" s="2033"/>
      <c r="H253" s="2033"/>
      <c r="I253" s="2033"/>
      <c r="J253" s="2033"/>
      <c r="K253" s="2033"/>
      <c r="L253" s="2033"/>
      <c r="M253" s="2033"/>
      <c r="N253" s="2033"/>
      <c r="O253" s="2033"/>
      <c r="P253" s="2033"/>
      <c r="Q253" s="2033"/>
      <c r="R253" s="2033"/>
      <c r="S253" s="2033"/>
      <c r="T253" s="2033"/>
      <c r="U253" s="2033"/>
      <c r="V253" s="2033"/>
      <c r="W253" s="2033"/>
      <c r="X253" s="2033"/>
      <c r="Y253" s="2033"/>
      <c r="Z253" s="2033"/>
      <c r="AA253" s="2033"/>
      <c r="AB253" s="2034"/>
    </row>
    <row r="254" spans="1:28" ht="13.5" customHeight="1" thickBot="1" x14ac:dyDescent="0.25">
      <c r="A254" s="8" t="s">
        <v>220</v>
      </c>
      <c r="B254" s="1980"/>
      <c r="C254" s="2311"/>
      <c r="D254" s="2031" t="s">
        <v>1218</v>
      </c>
      <c r="E254" s="1892"/>
      <c r="F254" s="1892"/>
      <c r="G254" s="1892"/>
      <c r="H254" s="1892"/>
      <c r="I254" s="1892"/>
      <c r="J254" s="1892"/>
      <c r="K254" s="1892"/>
      <c r="L254" s="1892"/>
      <c r="M254" s="1892"/>
      <c r="N254" s="1892"/>
      <c r="O254" s="1892"/>
      <c r="P254" s="1892"/>
      <c r="Q254" s="1892"/>
      <c r="R254" s="1892"/>
      <c r="S254" s="1892"/>
      <c r="T254" s="1892"/>
      <c r="U254" s="1892"/>
      <c r="V254" s="1892"/>
      <c r="W254" s="1892"/>
      <c r="X254" s="1892"/>
      <c r="Y254" s="1892"/>
      <c r="Z254" s="1892"/>
      <c r="AA254" s="1892"/>
      <c r="AB254" s="1893"/>
    </row>
    <row r="255" spans="1:28" ht="13.5" customHeight="1" thickBot="1" x14ac:dyDescent="0.25">
      <c r="A255" s="8" t="s">
        <v>220</v>
      </c>
      <c r="B255" s="1980"/>
      <c r="C255" s="480" t="s">
        <v>33</v>
      </c>
      <c r="D255" s="475"/>
      <c r="E255" s="1878" t="s">
        <v>446</v>
      </c>
      <c r="F255" s="1883"/>
      <c r="G255" s="1883"/>
      <c r="H255" s="1883"/>
      <c r="I255" s="1883"/>
      <c r="J255" s="1884"/>
      <c r="K255" s="1878" t="s">
        <v>327</v>
      </c>
      <c r="L255" s="1879"/>
      <c r="M255" s="1879"/>
      <c r="N255" s="1879"/>
      <c r="O255" s="1879"/>
      <c r="P255" s="1880"/>
      <c r="Q255" s="1881" t="s">
        <v>163</v>
      </c>
      <c r="R255" s="1882"/>
      <c r="S255" s="1882"/>
      <c r="T255" s="1882"/>
      <c r="U255" s="1882"/>
      <c r="V255" s="1882"/>
      <c r="W255" s="1881" t="s">
        <v>162</v>
      </c>
      <c r="X255" s="1882"/>
      <c r="Y255" s="1882"/>
      <c r="Z255" s="1882"/>
      <c r="AA255" s="1882"/>
      <c r="AB255" s="1947"/>
    </row>
    <row r="256" spans="1:28" ht="13.5" customHeight="1" thickBot="1" x14ac:dyDescent="0.25">
      <c r="A256" s="8" t="s">
        <v>220</v>
      </c>
      <c r="B256" s="1980"/>
      <c r="C256" s="479"/>
      <c r="D256" s="474"/>
      <c r="E256" s="893" t="s">
        <v>18</v>
      </c>
      <c r="F256" s="891" t="s">
        <v>17</v>
      </c>
      <c r="G256" s="891" t="s">
        <v>16</v>
      </c>
      <c r="H256" s="891" t="s">
        <v>15</v>
      </c>
      <c r="I256" s="891" t="s">
        <v>14</v>
      </c>
      <c r="J256" s="892" t="s">
        <v>13</v>
      </c>
      <c r="K256" s="893" t="s">
        <v>18</v>
      </c>
      <c r="L256" s="891" t="s">
        <v>17</v>
      </c>
      <c r="M256" s="894" t="s">
        <v>16</v>
      </c>
      <c r="N256" s="891" t="s">
        <v>15</v>
      </c>
      <c r="O256" s="891" t="s">
        <v>14</v>
      </c>
      <c r="P256" s="892" t="s">
        <v>13</v>
      </c>
      <c r="Q256" s="893" t="s">
        <v>18</v>
      </c>
      <c r="R256" s="891" t="s">
        <v>17</v>
      </c>
      <c r="S256" s="891" t="s">
        <v>16</v>
      </c>
      <c r="T256" s="891" t="s">
        <v>15</v>
      </c>
      <c r="U256" s="891" t="s">
        <v>14</v>
      </c>
      <c r="V256" s="892" t="s">
        <v>13</v>
      </c>
      <c r="W256" s="893" t="s">
        <v>18</v>
      </c>
      <c r="X256" s="891" t="s">
        <v>17</v>
      </c>
      <c r="Y256" s="891" t="s">
        <v>16</v>
      </c>
      <c r="Z256" s="891" t="s">
        <v>15</v>
      </c>
      <c r="AA256" s="891" t="s">
        <v>14</v>
      </c>
      <c r="AB256" s="892" t="s">
        <v>13</v>
      </c>
    </row>
    <row r="257" spans="1:28" ht="13.5" customHeight="1" x14ac:dyDescent="0.2">
      <c r="A257" s="8" t="s">
        <v>220</v>
      </c>
      <c r="B257" s="1980"/>
      <c r="C257" s="2137" t="s">
        <v>60</v>
      </c>
      <c r="D257" s="472" t="s">
        <v>12</v>
      </c>
      <c r="E257" s="2030" t="s">
        <v>444</v>
      </c>
      <c r="F257" s="1978"/>
      <c r="G257" s="1978"/>
      <c r="H257" s="1978"/>
      <c r="I257" s="1978"/>
      <c r="J257" s="1979"/>
      <c r="K257" s="942" t="s">
        <v>845</v>
      </c>
      <c r="L257" s="943" t="s">
        <v>845</v>
      </c>
      <c r="M257" s="943" t="s">
        <v>845</v>
      </c>
      <c r="N257" s="943" t="s">
        <v>845</v>
      </c>
      <c r="O257" s="943" t="s">
        <v>845</v>
      </c>
      <c r="P257" s="944" t="s">
        <v>846</v>
      </c>
      <c r="Q257" s="942" t="s">
        <v>166</v>
      </c>
      <c r="R257" s="943" t="s">
        <v>166</v>
      </c>
      <c r="S257" s="943" t="s">
        <v>166</v>
      </c>
      <c r="T257" s="943" t="s">
        <v>166</v>
      </c>
      <c r="U257" s="943" t="s">
        <v>166</v>
      </c>
      <c r="V257" s="944" t="s">
        <v>167</v>
      </c>
      <c r="W257" s="945" t="s">
        <v>134</v>
      </c>
      <c r="X257" s="798" t="s">
        <v>134</v>
      </c>
      <c r="Y257" s="798" t="s">
        <v>134</v>
      </c>
      <c r="Z257" s="798" t="s">
        <v>134</v>
      </c>
      <c r="AA257" s="798" t="s">
        <v>134</v>
      </c>
      <c r="AB257" s="946" t="s">
        <v>134</v>
      </c>
    </row>
    <row r="258" spans="1:28" ht="13.5" customHeight="1" thickBot="1" x14ac:dyDescent="0.25">
      <c r="A258" s="8" t="s">
        <v>220</v>
      </c>
      <c r="B258" s="1980"/>
      <c r="C258" s="2138"/>
      <c r="D258" s="398" t="s">
        <v>10</v>
      </c>
      <c r="E258" s="399" t="s">
        <v>844</v>
      </c>
      <c r="F258" s="400" t="s">
        <v>845</v>
      </c>
      <c r="G258" s="400" t="s">
        <v>845</v>
      </c>
      <c r="H258" s="400" t="s">
        <v>845</v>
      </c>
      <c r="I258" s="400" t="s">
        <v>845</v>
      </c>
      <c r="J258" s="401" t="s">
        <v>846</v>
      </c>
      <c r="K258" s="399" t="s">
        <v>846</v>
      </c>
      <c r="L258" s="404" t="s">
        <v>846</v>
      </c>
      <c r="M258" s="404" t="s">
        <v>846</v>
      </c>
      <c r="N258" s="404" t="s">
        <v>846</v>
      </c>
      <c r="O258" s="404" t="s">
        <v>845</v>
      </c>
      <c r="P258" s="405" t="s">
        <v>846</v>
      </c>
      <c r="Q258" s="399" t="s">
        <v>166</v>
      </c>
      <c r="R258" s="404" t="s">
        <v>1226</v>
      </c>
      <c r="S258" s="404" t="s">
        <v>1226</v>
      </c>
      <c r="T258" s="404" t="s">
        <v>1226</v>
      </c>
      <c r="U258" s="404" t="s">
        <v>1227</v>
      </c>
      <c r="V258" s="405" t="s">
        <v>134</v>
      </c>
      <c r="W258" s="399" t="s">
        <v>1228</v>
      </c>
      <c r="X258" s="404" t="s">
        <v>167</v>
      </c>
      <c r="Y258" s="404" t="s">
        <v>1230</v>
      </c>
      <c r="Z258" s="404" t="s">
        <v>1230</v>
      </c>
      <c r="AA258" s="404" t="s">
        <v>1232</v>
      </c>
      <c r="AB258" s="405" t="s">
        <v>1455</v>
      </c>
    </row>
    <row r="259" spans="1:28" ht="13.5" customHeight="1" thickBot="1" x14ac:dyDescent="0.25">
      <c r="A259" s="8" t="s">
        <v>220</v>
      </c>
      <c r="B259" s="1980"/>
      <c r="C259" s="739"/>
      <c r="D259" s="2032" t="s">
        <v>7</v>
      </c>
      <c r="E259" s="2033"/>
      <c r="F259" s="2033"/>
      <c r="G259" s="2033"/>
      <c r="H259" s="2033"/>
      <c r="I259" s="2033"/>
      <c r="J259" s="2033"/>
      <c r="K259" s="2033"/>
      <c r="L259" s="2033"/>
      <c r="M259" s="2033"/>
      <c r="N259" s="2033"/>
      <c r="O259" s="2033"/>
      <c r="P259" s="2033"/>
      <c r="Q259" s="2033"/>
      <c r="R259" s="2033"/>
      <c r="S259" s="2033"/>
      <c r="T259" s="2033"/>
      <c r="U259" s="2033"/>
      <c r="V259" s="2033"/>
      <c r="W259" s="2033"/>
      <c r="X259" s="2033"/>
      <c r="Y259" s="2033"/>
      <c r="Z259" s="2033"/>
      <c r="AA259" s="2033"/>
      <c r="AB259" s="2034"/>
    </row>
    <row r="260" spans="1:28" ht="13.5" customHeight="1" thickBot="1" x14ac:dyDescent="0.25">
      <c r="A260" s="8" t="s">
        <v>220</v>
      </c>
      <c r="B260" s="1980"/>
      <c r="C260" s="739"/>
      <c r="D260" s="2031" t="s">
        <v>1219</v>
      </c>
      <c r="E260" s="1892"/>
      <c r="F260" s="1892"/>
      <c r="G260" s="1892"/>
      <c r="H260" s="1892"/>
      <c r="I260" s="1892"/>
      <c r="J260" s="1892"/>
      <c r="K260" s="1892"/>
      <c r="L260" s="1892"/>
      <c r="M260" s="1892"/>
      <c r="N260" s="1892"/>
      <c r="O260" s="1892"/>
      <c r="P260" s="1892"/>
      <c r="Q260" s="1892"/>
      <c r="R260" s="1892"/>
      <c r="S260" s="1892"/>
      <c r="T260" s="1892"/>
      <c r="U260" s="1892"/>
      <c r="V260" s="1892"/>
      <c r="W260" s="1892"/>
      <c r="X260" s="1892"/>
      <c r="Y260" s="1892"/>
      <c r="Z260" s="1892"/>
      <c r="AA260" s="1892"/>
      <c r="AB260" s="1893"/>
    </row>
    <row r="261" spans="1:28" ht="13.5" customHeight="1" thickBot="1" x14ac:dyDescent="0.25">
      <c r="A261" s="8" t="s">
        <v>220</v>
      </c>
      <c r="B261" s="1980"/>
      <c r="C261" s="480" t="s">
        <v>32</v>
      </c>
      <c r="D261" s="475"/>
      <c r="E261" s="1878" t="s">
        <v>445</v>
      </c>
      <c r="F261" s="1883"/>
      <c r="G261" s="1883"/>
      <c r="H261" s="1883"/>
      <c r="I261" s="1883"/>
      <c r="J261" s="1884"/>
      <c r="K261" s="1878" t="s">
        <v>327</v>
      </c>
      <c r="L261" s="1879"/>
      <c r="M261" s="1879"/>
      <c r="N261" s="1879"/>
      <c r="O261" s="1879"/>
      <c r="P261" s="1880"/>
      <c r="Q261" s="1881" t="s">
        <v>163</v>
      </c>
      <c r="R261" s="1882"/>
      <c r="S261" s="1882"/>
      <c r="T261" s="1882"/>
      <c r="U261" s="1882"/>
      <c r="V261" s="1882"/>
      <c r="W261" s="1881" t="s">
        <v>162</v>
      </c>
      <c r="X261" s="1882"/>
      <c r="Y261" s="1882"/>
      <c r="Z261" s="1882"/>
      <c r="AA261" s="1882"/>
      <c r="AB261" s="1947"/>
    </row>
    <row r="262" spans="1:28" ht="13.5" customHeight="1" thickBot="1" x14ac:dyDescent="0.25">
      <c r="A262" s="8" t="s">
        <v>220</v>
      </c>
      <c r="B262" s="1980"/>
      <c r="C262" s="479"/>
      <c r="D262" s="474"/>
      <c r="E262" s="893" t="s">
        <v>18</v>
      </c>
      <c r="F262" s="891" t="s">
        <v>17</v>
      </c>
      <c r="G262" s="891" t="s">
        <v>16</v>
      </c>
      <c r="H262" s="891" t="s">
        <v>15</v>
      </c>
      <c r="I262" s="891" t="s">
        <v>14</v>
      </c>
      <c r="J262" s="892" t="s">
        <v>13</v>
      </c>
      <c r="K262" s="893" t="s">
        <v>18</v>
      </c>
      <c r="L262" s="891" t="s">
        <v>17</v>
      </c>
      <c r="M262" s="894" t="s">
        <v>16</v>
      </c>
      <c r="N262" s="891" t="s">
        <v>15</v>
      </c>
      <c r="O262" s="891" t="s">
        <v>14</v>
      </c>
      <c r="P262" s="892" t="s">
        <v>13</v>
      </c>
      <c r="Q262" s="893" t="s">
        <v>18</v>
      </c>
      <c r="R262" s="891" t="s">
        <v>17</v>
      </c>
      <c r="S262" s="891" t="s">
        <v>16</v>
      </c>
      <c r="T262" s="891" t="s">
        <v>15</v>
      </c>
      <c r="U262" s="891" t="s">
        <v>14</v>
      </c>
      <c r="V262" s="892" t="s">
        <v>13</v>
      </c>
      <c r="W262" s="893" t="s">
        <v>18</v>
      </c>
      <c r="X262" s="891" t="s">
        <v>17</v>
      </c>
      <c r="Y262" s="891" t="s">
        <v>16</v>
      </c>
      <c r="Z262" s="891" t="s">
        <v>15</v>
      </c>
      <c r="AA262" s="891" t="s">
        <v>14</v>
      </c>
      <c r="AB262" s="892" t="s">
        <v>13</v>
      </c>
    </row>
    <row r="263" spans="1:28" ht="13.5" customHeight="1" x14ac:dyDescent="0.2">
      <c r="A263" s="8" t="s">
        <v>220</v>
      </c>
      <c r="B263" s="1980"/>
      <c r="C263" s="2137" t="s">
        <v>61</v>
      </c>
      <c r="D263" s="472" t="s">
        <v>12</v>
      </c>
      <c r="E263" s="2427" t="s">
        <v>444</v>
      </c>
      <c r="F263" s="2428"/>
      <c r="G263" s="2428"/>
      <c r="H263" s="2428"/>
      <c r="I263" s="2428"/>
      <c r="J263" s="2429"/>
      <c r="K263" s="947" t="s">
        <v>845</v>
      </c>
      <c r="L263" s="948" t="s">
        <v>845</v>
      </c>
      <c r="M263" s="948" t="s">
        <v>846</v>
      </c>
      <c r="N263" s="948" t="s">
        <v>845</v>
      </c>
      <c r="O263" s="948" t="s">
        <v>846</v>
      </c>
      <c r="P263" s="949" t="s">
        <v>846</v>
      </c>
      <c r="Q263" s="945" t="s">
        <v>166</v>
      </c>
      <c r="R263" s="798" t="s">
        <v>166</v>
      </c>
      <c r="S263" s="798" t="s">
        <v>167</v>
      </c>
      <c r="T263" s="798" t="s">
        <v>166</v>
      </c>
      <c r="U263" s="798" t="s">
        <v>167</v>
      </c>
      <c r="V263" s="946" t="s">
        <v>167</v>
      </c>
      <c r="W263" s="945" t="s">
        <v>134</v>
      </c>
      <c r="X263" s="798" t="s">
        <v>134</v>
      </c>
      <c r="Y263" s="798" t="s">
        <v>134</v>
      </c>
      <c r="Z263" s="798" t="s">
        <v>134</v>
      </c>
      <c r="AA263" s="798" t="s">
        <v>134</v>
      </c>
      <c r="AB263" s="946" t="s">
        <v>134</v>
      </c>
    </row>
    <row r="264" spans="1:28" ht="13.5" customHeight="1" thickBot="1" x14ac:dyDescent="0.25">
      <c r="A264" s="8" t="s">
        <v>220</v>
      </c>
      <c r="B264" s="1980"/>
      <c r="C264" s="2138"/>
      <c r="D264" s="398" t="s">
        <v>10</v>
      </c>
      <c r="E264" s="471" t="s">
        <v>844</v>
      </c>
      <c r="F264" s="400" t="s">
        <v>845</v>
      </c>
      <c r="G264" s="400" t="s">
        <v>846</v>
      </c>
      <c r="H264" s="400" t="s">
        <v>845</v>
      </c>
      <c r="I264" s="400" t="s">
        <v>845</v>
      </c>
      <c r="J264" s="401" t="s">
        <v>846</v>
      </c>
      <c r="K264" s="471" t="s">
        <v>844</v>
      </c>
      <c r="L264" s="400" t="s">
        <v>846</v>
      </c>
      <c r="M264" s="400" t="s">
        <v>846</v>
      </c>
      <c r="N264" s="400" t="s">
        <v>846</v>
      </c>
      <c r="O264" s="400" t="s">
        <v>846</v>
      </c>
      <c r="P264" s="401" t="s">
        <v>846</v>
      </c>
      <c r="Q264" s="1292" t="s">
        <v>1226</v>
      </c>
      <c r="R264" s="1293" t="s">
        <v>1226</v>
      </c>
      <c r="S264" s="1293" t="s">
        <v>134</v>
      </c>
      <c r="T264" s="1293" t="s">
        <v>1230</v>
      </c>
      <c r="U264" s="1293" t="s">
        <v>1226</v>
      </c>
      <c r="V264" s="1294" t="s">
        <v>1226</v>
      </c>
      <c r="W264" s="399" t="s">
        <v>1226</v>
      </c>
      <c r="X264" s="399" t="s">
        <v>1226</v>
      </c>
      <c r="Y264" s="404" t="s">
        <v>1455</v>
      </c>
      <c r="Z264" s="404" t="s">
        <v>1455</v>
      </c>
      <c r="AA264" s="404" t="s">
        <v>1455</v>
      </c>
      <c r="AB264" s="404" t="s">
        <v>134</v>
      </c>
    </row>
    <row r="265" spans="1:28" ht="13.5" customHeight="1" thickBot="1" x14ac:dyDescent="0.25">
      <c r="A265" s="8" t="s">
        <v>220</v>
      </c>
      <c r="B265" s="1980"/>
      <c r="C265" s="739"/>
      <c r="D265" s="2032" t="s">
        <v>7</v>
      </c>
      <c r="E265" s="2033"/>
      <c r="F265" s="2033"/>
      <c r="G265" s="2033"/>
      <c r="H265" s="2033"/>
      <c r="I265" s="2033"/>
      <c r="J265" s="2033"/>
      <c r="K265" s="2033"/>
      <c r="L265" s="2033"/>
      <c r="M265" s="2033"/>
      <c r="N265" s="2033"/>
      <c r="O265" s="2033"/>
      <c r="P265" s="2033"/>
      <c r="Q265" s="2033"/>
      <c r="R265" s="2033"/>
      <c r="S265" s="2033"/>
      <c r="T265" s="2033"/>
      <c r="U265" s="2033"/>
      <c r="V265" s="2033"/>
      <c r="W265" s="2033"/>
      <c r="X265" s="2033"/>
      <c r="Y265" s="2033"/>
      <c r="Z265" s="2033"/>
      <c r="AA265" s="2033"/>
      <c r="AB265" s="2034"/>
    </row>
    <row r="266" spans="1:28" ht="13.5" customHeight="1" thickBot="1" x14ac:dyDescent="0.25">
      <c r="A266" s="8" t="s">
        <v>220</v>
      </c>
      <c r="B266" s="1980"/>
      <c r="C266" s="739"/>
      <c r="D266" s="2031" t="s">
        <v>1219</v>
      </c>
      <c r="E266" s="1892"/>
      <c r="F266" s="1892"/>
      <c r="G266" s="1892"/>
      <c r="H266" s="1892"/>
      <c r="I266" s="1892"/>
      <c r="J266" s="1892"/>
      <c r="K266" s="1892"/>
      <c r="L266" s="1892"/>
      <c r="M266" s="1892"/>
      <c r="N266" s="1892"/>
      <c r="O266" s="1892"/>
      <c r="P266" s="1892"/>
      <c r="Q266" s="1892"/>
      <c r="R266" s="1892"/>
      <c r="S266" s="1892"/>
      <c r="T266" s="1892"/>
      <c r="U266" s="1892"/>
      <c r="V266" s="1892"/>
      <c r="W266" s="1892"/>
      <c r="X266" s="1892"/>
      <c r="Y266" s="1892"/>
      <c r="Z266" s="1892"/>
      <c r="AA266" s="1892"/>
      <c r="AB266" s="1893"/>
    </row>
    <row r="267" spans="1:28" ht="13.5" customHeight="1" thickBot="1" x14ac:dyDescent="0.25">
      <c r="A267" s="8" t="s">
        <v>220</v>
      </c>
      <c r="B267" s="1980"/>
      <c r="C267" s="480" t="s">
        <v>31</v>
      </c>
      <c r="D267" s="475"/>
      <c r="E267" s="1878" t="s">
        <v>445</v>
      </c>
      <c r="F267" s="1883"/>
      <c r="G267" s="1883"/>
      <c r="H267" s="1883"/>
      <c r="I267" s="1883"/>
      <c r="J267" s="1884"/>
      <c r="K267" s="1878" t="s">
        <v>327</v>
      </c>
      <c r="L267" s="1879"/>
      <c r="M267" s="1879"/>
      <c r="N267" s="1879"/>
      <c r="O267" s="1879"/>
      <c r="P267" s="1880"/>
      <c r="Q267" s="1881" t="s">
        <v>163</v>
      </c>
      <c r="R267" s="1882"/>
      <c r="S267" s="1882"/>
      <c r="T267" s="1882"/>
      <c r="U267" s="1882"/>
      <c r="V267" s="1882"/>
      <c r="W267" s="1881" t="s">
        <v>162</v>
      </c>
      <c r="X267" s="1882"/>
      <c r="Y267" s="1882"/>
      <c r="Z267" s="1882"/>
      <c r="AA267" s="1882"/>
      <c r="AB267" s="1947"/>
    </row>
    <row r="268" spans="1:28" ht="13.5" customHeight="1" thickBot="1" x14ac:dyDescent="0.25">
      <c r="A268" s="8" t="s">
        <v>220</v>
      </c>
      <c r="B268" s="1980"/>
      <c r="C268" s="479"/>
      <c r="D268" s="474"/>
      <c r="E268" s="893" t="s">
        <v>18</v>
      </c>
      <c r="F268" s="891" t="s">
        <v>17</v>
      </c>
      <c r="G268" s="891" t="s">
        <v>16</v>
      </c>
      <c r="H268" s="891" t="s">
        <v>15</v>
      </c>
      <c r="I268" s="891" t="s">
        <v>14</v>
      </c>
      <c r="J268" s="892" t="s">
        <v>13</v>
      </c>
      <c r="K268" s="893" t="s">
        <v>18</v>
      </c>
      <c r="L268" s="891" t="s">
        <v>17</v>
      </c>
      <c r="M268" s="894" t="s">
        <v>16</v>
      </c>
      <c r="N268" s="891" t="s">
        <v>15</v>
      </c>
      <c r="O268" s="891" t="s">
        <v>14</v>
      </c>
      <c r="P268" s="892" t="s">
        <v>13</v>
      </c>
      <c r="Q268" s="893" t="s">
        <v>18</v>
      </c>
      <c r="R268" s="891" t="s">
        <v>17</v>
      </c>
      <c r="S268" s="891" t="s">
        <v>16</v>
      </c>
      <c r="T268" s="891" t="s">
        <v>15</v>
      </c>
      <c r="U268" s="891" t="s">
        <v>14</v>
      </c>
      <c r="V268" s="892" t="s">
        <v>13</v>
      </c>
      <c r="W268" s="893" t="s">
        <v>18</v>
      </c>
      <c r="X268" s="891" t="s">
        <v>17</v>
      </c>
      <c r="Y268" s="891" t="s">
        <v>16</v>
      </c>
      <c r="Z268" s="891" t="s">
        <v>15</v>
      </c>
      <c r="AA268" s="891" t="s">
        <v>14</v>
      </c>
      <c r="AB268" s="892" t="s">
        <v>13</v>
      </c>
    </row>
    <row r="269" spans="1:28" ht="13.5" customHeight="1" x14ac:dyDescent="0.2">
      <c r="A269" s="8" t="s">
        <v>220</v>
      </c>
      <c r="B269" s="1980"/>
      <c r="C269" s="2137" t="s">
        <v>30</v>
      </c>
      <c r="D269" s="472" t="s">
        <v>12</v>
      </c>
      <c r="E269" s="2030" t="s">
        <v>444</v>
      </c>
      <c r="F269" s="1978"/>
      <c r="G269" s="1978"/>
      <c r="H269" s="1978"/>
      <c r="I269" s="1978"/>
      <c r="J269" s="1979"/>
      <c r="K269" s="942" t="s">
        <v>845</v>
      </c>
      <c r="L269" s="943" t="s">
        <v>845</v>
      </c>
      <c r="M269" s="943" t="s">
        <v>845</v>
      </c>
      <c r="N269" s="943" t="s">
        <v>845</v>
      </c>
      <c r="O269" s="943" t="s">
        <v>846</v>
      </c>
      <c r="P269" s="944" t="s">
        <v>846</v>
      </c>
      <c r="Q269" s="945" t="s">
        <v>166</v>
      </c>
      <c r="R269" s="798" t="s">
        <v>166</v>
      </c>
      <c r="S269" s="798" t="s">
        <v>167</v>
      </c>
      <c r="T269" s="798" t="s">
        <v>166</v>
      </c>
      <c r="U269" s="798" t="s">
        <v>167</v>
      </c>
      <c r="V269" s="946" t="s">
        <v>167</v>
      </c>
      <c r="W269" s="945" t="s">
        <v>134</v>
      </c>
      <c r="X269" s="798" t="s">
        <v>134</v>
      </c>
      <c r="Y269" s="798" t="s">
        <v>134</v>
      </c>
      <c r="Z269" s="798" t="s">
        <v>134</v>
      </c>
      <c r="AA269" s="798" t="s">
        <v>134</v>
      </c>
      <c r="AB269" s="946" t="s">
        <v>134</v>
      </c>
    </row>
    <row r="270" spans="1:28" ht="13.5" customHeight="1" thickBot="1" x14ac:dyDescent="0.25">
      <c r="A270" s="8" t="s">
        <v>220</v>
      </c>
      <c r="B270" s="1980"/>
      <c r="C270" s="2138"/>
      <c r="D270" s="398" t="s">
        <v>10</v>
      </c>
      <c r="E270" s="399" t="s">
        <v>844</v>
      </c>
      <c r="F270" s="404" t="s">
        <v>845</v>
      </c>
      <c r="G270" s="404" t="s">
        <v>845</v>
      </c>
      <c r="H270" s="404" t="s">
        <v>844</v>
      </c>
      <c r="I270" s="404" t="s">
        <v>846</v>
      </c>
      <c r="J270" s="405" t="s">
        <v>846</v>
      </c>
      <c r="K270" s="399" t="s">
        <v>845</v>
      </c>
      <c r="L270" s="404" t="s">
        <v>846</v>
      </c>
      <c r="M270" s="404" t="s">
        <v>846</v>
      </c>
      <c r="N270" s="404" t="s">
        <v>846</v>
      </c>
      <c r="O270" s="404" t="s">
        <v>846</v>
      </c>
      <c r="P270" s="405" t="s">
        <v>846</v>
      </c>
      <c r="Q270" s="399" t="s">
        <v>1226</v>
      </c>
      <c r="R270" s="404" t="s">
        <v>1226</v>
      </c>
      <c r="S270" s="404" t="s">
        <v>1226</v>
      </c>
      <c r="T270" s="404" t="s">
        <v>1227</v>
      </c>
      <c r="U270" s="404" t="s">
        <v>1226</v>
      </c>
      <c r="V270" s="405" t="s">
        <v>1232</v>
      </c>
      <c r="W270" s="399" t="s">
        <v>134</v>
      </c>
      <c r="X270" s="404" t="s">
        <v>1227</v>
      </c>
      <c r="Y270" s="404" t="s">
        <v>1230</v>
      </c>
      <c r="Z270" s="404" t="s">
        <v>1230</v>
      </c>
      <c r="AA270" s="404" t="s">
        <v>1226</v>
      </c>
      <c r="AB270" s="405" t="s">
        <v>1230</v>
      </c>
    </row>
    <row r="271" spans="1:28" ht="12.95" customHeight="1" x14ac:dyDescent="0.2">
      <c r="A271" s="8" t="s">
        <v>220</v>
      </c>
      <c r="B271" s="2371"/>
      <c r="C271" s="739"/>
      <c r="D271" s="2347" t="s">
        <v>7</v>
      </c>
      <c r="E271" s="2348"/>
      <c r="F271" s="2348"/>
      <c r="G271" s="2348"/>
      <c r="H271" s="2348"/>
      <c r="I271" s="2348"/>
      <c r="J271" s="2348"/>
      <c r="K271" s="2348"/>
      <c r="L271" s="2348"/>
      <c r="M271" s="2348"/>
      <c r="N271" s="2348"/>
      <c r="O271" s="2348"/>
      <c r="P271" s="2348"/>
      <c r="Q271" s="2348"/>
      <c r="R271" s="2348"/>
      <c r="S271" s="2348"/>
      <c r="T271" s="2348"/>
      <c r="U271" s="2348"/>
      <c r="V271" s="2348"/>
      <c r="W271" s="2348"/>
      <c r="X271" s="2348"/>
      <c r="Y271" s="2348"/>
      <c r="Z271" s="2348"/>
      <c r="AA271" s="2348"/>
      <c r="AB271" s="2349"/>
    </row>
    <row r="272" spans="1:28" ht="12.95" customHeight="1" thickBot="1" x14ac:dyDescent="0.25">
      <c r="A272" s="8" t="s">
        <v>220</v>
      </c>
      <c r="B272" s="2371"/>
      <c r="C272" s="825"/>
      <c r="D272" s="2372" t="s">
        <v>1219</v>
      </c>
      <c r="E272" s="2373"/>
      <c r="F272" s="2373"/>
      <c r="G272" s="2373"/>
      <c r="H272" s="2373"/>
      <c r="I272" s="2373"/>
      <c r="J272" s="2373"/>
      <c r="K272" s="2373"/>
      <c r="L272" s="2373"/>
      <c r="M272" s="2373"/>
      <c r="N272" s="2373"/>
      <c r="O272" s="2373"/>
      <c r="P272" s="2373"/>
      <c r="Q272" s="2373"/>
      <c r="R272" s="2373"/>
      <c r="S272" s="2373"/>
      <c r="T272" s="2373"/>
      <c r="U272" s="2373"/>
      <c r="V272" s="2373"/>
      <c r="W272" s="2373"/>
      <c r="X272" s="2373"/>
      <c r="Y272" s="2373"/>
      <c r="Z272" s="2373"/>
      <c r="AA272" s="2373"/>
      <c r="AB272" s="2374"/>
    </row>
    <row r="273" spans="1:28" ht="12.95" customHeight="1" thickBot="1" x14ac:dyDescent="0.25">
      <c r="A273" s="8" t="s">
        <v>220</v>
      </c>
      <c r="B273" s="2371"/>
      <c r="C273" s="481" t="s">
        <v>164</v>
      </c>
      <c r="D273" s="476"/>
      <c r="E273" s="2108" t="s">
        <v>445</v>
      </c>
      <c r="F273" s="2108"/>
      <c r="G273" s="2108"/>
      <c r="H273" s="2108"/>
      <c r="I273" s="2108"/>
      <c r="J273" s="2109"/>
      <c r="K273" s="1982" t="s">
        <v>327</v>
      </c>
      <c r="L273" s="2004"/>
      <c r="M273" s="2004"/>
      <c r="N273" s="2004"/>
      <c r="O273" s="2004"/>
      <c r="P273" s="2005"/>
      <c r="Q273" s="2058" t="s">
        <v>163</v>
      </c>
      <c r="R273" s="2059"/>
      <c r="S273" s="2059"/>
      <c r="T273" s="2059"/>
      <c r="U273" s="2059"/>
      <c r="V273" s="2060"/>
      <c r="W273" s="1881" t="s">
        <v>162</v>
      </c>
      <c r="X273" s="1882"/>
      <c r="Y273" s="1882"/>
      <c r="Z273" s="1882"/>
      <c r="AA273" s="1882"/>
      <c r="AB273" s="1947"/>
    </row>
    <row r="274" spans="1:28" ht="12.95" customHeight="1" thickBot="1" x14ac:dyDescent="0.25">
      <c r="A274" s="8" t="s">
        <v>220</v>
      </c>
      <c r="B274" s="2371"/>
      <c r="C274" s="482"/>
      <c r="D274" s="476"/>
      <c r="E274" s="520" t="s">
        <v>18</v>
      </c>
      <c r="F274" s="520" t="s">
        <v>17</v>
      </c>
      <c r="G274" s="520" t="s">
        <v>16</v>
      </c>
      <c r="H274" s="520" t="s">
        <v>15</v>
      </c>
      <c r="I274" s="520" t="s">
        <v>14</v>
      </c>
      <c r="J274" s="520" t="s">
        <v>13</v>
      </c>
      <c r="K274" s="406" t="s">
        <v>18</v>
      </c>
      <c r="L274" s="406" t="s">
        <v>17</v>
      </c>
      <c r="M274" s="407" t="s">
        <v>16</v>
      </c>
      <c r="N274" s="406" t="s">
        <v>15</v>
      </c>
      <c r="O274" s="406" t="s">
        <v>14</v>
      </c>
      <c r="P274" s="406" t="s">
        <v>13</v>
      </c>
      <c r="Q274" s="411" t="s">
        <v>18</v>
      </c>
      <c r="R274" s="413" t="s">
        <v>17</v>
      </c>
      <c r="S274" s="413" t="s">
        <v>16</v>
      </c>
      <c r="T274" s="413" t="s">
        <v>15</v>
      </c>
      <c r="U274" s="413" t="s">
        <v>14</v>
      </c>
      <c r="V274" s="414" t="s">
        <v>13</v>
      </c>
      <c r="W274" s="952" t="s">
        <v>18</v>
      </c>
      <c r="X274" s="950" t="s">
        <v>17</v>
      </c>
      <c r="Y274" s="950" t="s">
        <v>16</v>
      </c>
      <c r="Z274" s="950" t="s">
        <v>15</v>
      </c>
      <c r="AA274" s="950" t="s">
        <v>14</v>
      </c>
      <c r="AB274" s="951" t="s">
        <v>13</v>
      </c>
    </row>
    <row r="275" spans="1:28" ht="12.95" customHeight="1" thickBot="1" x14ac:dyDescent="0.25">
      <c r="A275" s="8" t="s">
        <v>220</v>
      </c>
      <c r="B275" s="2371"/>
      <c r="C275" s="2057" t="s">
        <v>165</v>
      </c>
      <c r="D275" s="408" t="s">
        <v>12</v>
      </c>
      <c r="E275" s="2430" t="s">
        <v>132</v>
      </c>
      <c r="F275" s="2431"/>
      <c r="G275" s="2431"/>
      <c r="H275" s="2431"/>
      <c r="I275" s="2431"/>
      <c r="J275" s="2432"/>
      <c r="K275" s="14" t="s">
        <v>844</v>
      </c>
      <c r="L275" s="14" t="s">
        <v>9</v>
      </c>
      <c r="M275" s="14" t="s">
        <v>11</v>
      </c>
      <c r="N275" s="14" t="s">
        <v>9</v>
      </c>
      <c r="O275" s="14" t="s">
        <v>11</v>
      </c>
      <c r="P275" s="14" t="s">
        <v>9</v>
      </c>
      <c r="Q275" s="14" t="s">
        <v>166</v>
      </c>
      <c r="R275" s="14" t="s">
        <v>169</v>
      </c>
      <c r="S275" s="14" t="s">
        <v>169</v>
      </c>
      <c r="T275" s="14" t="s">
        <v>168</v>
      </c>
      <c r="U275" s="14" t="s">
        <v>169</v>
      </c>
      <c r="V275" s="14" t="s">
        <v>169</v>
      </c>
      <c r="W275" s="1249" t="s">
        <v>170</v>
      </c>
      <c r="X275" s="953" t="s">
        <v>170</v>
      </c>
      <c r="Y275" s="953" t="s">
        <v>170</v>
      </c>
      <c r="Z275" s="953" t="s">
        <v>170</v>
      </c>
      <c r="AA275" s="953" t="s">
        <v>170</v>
      </c>
      <c r="AB275" s="954" t="s">
        <v>170</v>
      </c>
    </row>
    <row r="276" spans="1:28" ht="12.95" customHeight="1" thickBot="1" x14ac:dyDescent="0.25">
      <c r="A276" s="8" t="s">
        <v>220</v>
      </c>
      <c r="B276" s="1913"/>
      <c r="C276" s="2136"/>
      <c r="D276" s="477" t="s">
        <v>10</v>
      </c>
      <c r="E276" s="437" t="s">
        <v>132</v>
      </c>
      <c r="F276" s="855" t="s">
        <v>9</v>
      </c>
      <c r="G276" s="855" t="s">
        <v>11</v>
      </c>
      <c r="H276" s="855" t="s">
        <v>8</v>
      </c>
      <c r="I276" s="855" t="s">
        <v>9</v>
      </c>
      <c r="J276" s="855" t="s">
        <v>9</v>
      </c>
      <c r="K276" s="712" t="s">
        <v>845</v>
      </c>
      <c r="L276" s="712" t="s">
        <v>845</v>
      </c>
      <c r="M276" s="28" t="s">
        <v>846</v>
      </c>
      <c r="N276" s="712" t="s">
        <v>845</v>
      </c>
      <c r="O276" s="712" t="s">
        <v>846</v>
      </c>
      <c r="P276" s="712" t="s">
        <v>9</v>
      </c>
      <c r="Q276" s="373" t="s">
        <v>134</v>
      </c>
      <c r="R276" s="373" t="s">
        <v>1227</v>
      </c>
      <c r="S276" s="373" t="s">
        <v>134</v>
      </c>
      <c r="T276" s="373" t="s">
        <v>1226</v>
      </c>
      <c r="U276" s="373" t="s">
        <v>134</v>
      </c>
      <c r="V276" s="373" t="s">
        <v>134</v>
      </c>
      <c r="W276" s="711" t="s">
        <v>134</v>
      </c>
      <c r="X276" s="1503" t="s">
        <v>134</v>
      </c>
      <c r="Y276" s="1503" t="s">
        <v>134</v>
      </c>
      <c r="Z276" s="711" t="s">
        <v>1230</v>
      </c>
      <c r="AA276" s="711" t="s">
        <v>134</v>
      </c>
      <c r="AB276" s="833" t="s">
        <v>1226</v>
      </c>
    </row>
    <row r="277" spans="1:28" ht="12.95" customHeight="1" thickBot="1" x14ac:dyDescent="0.25">
      <c r="A277" s="8" t="s">
        <v>220</v>
      </c>
      <c r="B277" s="473" t="s">
        <v>6</v>
      </c>
      <c r="C277" s="852"/>
      <c r="D277" s="2148" t="s">
        <v>7</v>
      </c>
      <c r="E277" s="2149"/>
      <c r="F277" s="2149"/>
      <c r="G277" s="2149"/>
      <c r="H277" s="2149"/>
      <c r="I277" s="2149"/>
      <c r="J277" s="2149"/>
      <c r="K277" s="2149"/>
      <c r="L277" s="2149"/>
      <c r="M277" s="2149"/>
      <c r="N277" s="2149"/>
      <c r="O277" s="2149"/>
      <c r="P277" s="2149"/>
      <c r="Q277" s="2149"/>
      <c r="R277" s="2149"/>
      <c r="S277" s="2149"/>
      <c r="T277" s="2149"/>
      <c r="U277" s="2149"/>
      <c r="V277" s="2149"/>
      <c r="W277" s="2149"/>
      <c r="X277" s="2149"/>
      <c r="Y277" s="2149"/>
      <c r="Z277" s="2149"/>
      <c r="AA277" s="2149"/>
      <c r="AB277" s="2150"/>
    </row>
    <row r="278" spans="1:28" ht="12.95" customHeight="1" thickBot="1" x14ac:dyDescent="0.25">
      <c r="A278" s="8" t="s">
        <v>220</v>
      </c>
      <c r="B278" s="1209">
        <v>0.15</v>
      </c>
      <c r="C278" s="955"/>
      <c r="D278" s="1954" t="s">
        <v>29</v>
      </c>
      <c r="E278" s="1955"/>
      <c r="F278" s="1955"/>
      <c r="G278" s="1955"/>
      <c r="H278" s="1955"/>
      <c r="I278" s="1955"/>
      <c r="J278" s="1955"/>
      <c r="K278" s="1955"/>
      <c r="L278" s="1955"/>
      <c r="M278" s="1955"/>
      <c r="N278" s="1955"/>
      <c r="O278" s="1955"/>
      <c r="P278" s="1955"/>
      <c r="Q278" s="1955"/>
      <c r="R278" s="1955"/>
      <c r="S278" s="1955"/>
      <c r="T278" s="1955"/>
      <c r="U278" s="1955"/>
      <c r="V278" s="1955"/>
      <c r="W278" s="1955"/>
      <c r="X278" s="1955"/>
      <c r="Y278" s="1955"/>
      <c r="Z278" s="1955"/>
      <c r="AA278" s="1955"/>
      <c r="AB278" s="1957"/>
    </row>
    <row r="279" spans="1:28" ht="13.5" customHeight="1" thickBot="1" x14ac:dyDescent="0.25">
      <c r="A279" s="8" t="s">
        <v>220</v>
      </c>
      <c r="B279" s="2367" t="s">
        <v>5</v>
      </c>
      <c r="C279" s="483" t="s">
        <v>995</v>
      </c>
      <c r="D279" s="938"/>
      <c r="E279" s="2139" t="s">
        <v>151</v>
      </c>
      <c r="F279" s="2140"/>
      <c r="G279" s="2140"/>
      <c r="H279" s="2140"/>
      <c r="I279" s="2140"/>
      <c r="J279" s="2141"/>
      <c r="K279" s="1942" t="s">
        <v>3</v>
      </c>
      <c r="L279" s="1943"/>
      <c r="M279" s="1943"/>
      <c r="N279" s="1943"/>
      <c r="O279" s="1943"/>
      <c r="P279" s="1944"/>
      <c r="Q279" s="1942" t="s">
        <v>148</v>
      </c>
      <c r="R279" s="1943" t="s">
        <v>2</v>
      </c>
      <c r="S279" s="1943" t="s">
        <v>2</v>
      </c>
      <c r="T279" s="1943" t="s">
        <v>2</v>
      </c>
      <c r="U279" s="1943" t="s">
        <v>2</v>
      </c>
      <c r="V279" s="1944" t="s">
        <v>2</v>
      </c>
      <c r="W279" s="956"/>
      <c r="X279" s="956"/>
      <c r="Y279" s="956"/>
      <c r="Z279" s="956"/>
      <c r="AA279" s="956"/>
      <c r="AB279" s="483" t="s">
        <v>149</v>
      </c>
    </row>
    <row r="280" spans="1:28" ht="13.5" customHeight="1" thickBot="1" x14ac:dyDescent="0.25">
      <c r="A280" s="8" t="s">
        <v>220</v>
      </c>
      <c r="B280" s="2368"/>
      <c r="C280" s="850"/>
      <c r="D280" s="868"/>
      <c r="E280" s="1954"/>
      <c r="F280" s="1955"/>
      <c r="G280" s="1955"/>
      <c r="H280" s="1955"/>
      <c r="I280" s="1955"/>
      <c r="J280" s="1957"/>
      <c r="K280" s="2048"/>
      <c r="L280" s="2049"/>
      <c r="M280" s="2049"/>
      <c r="N280" s="2049"/>
      <c r="O280" s="2049"/>
      <c r="P280" s="2050"/>
      <c r="Q280" s="2048"/>
      <c r="R280" s="2049"/>
      <c r="S280" s="2049"/>
      <c r="T280" s="2049"/>
      <c r="U280" s="2049"/>
      <c r="V280" s="2050"/>
      <c r="W280" s="941"/>
      <c r="X280" s="941"/>
      <c r="Y280" s="941"/>
      <c r="Z280" s="941"/>
      <c r="AA280" s="941"/>
      <c r="AB280" s="957" t="s">
        <v>157</v>
      </c>
    </row>
    <row r="281" spans="1:28" ht="13.5" thickBot="1" x14ac:dyDescent="0.25">
      <c r="A281" s="8" t="s">
        <v>220</v>
      </c>
      <c r="B281" s="2367" t="s">
        <v>1</v>
      </c>
      <c r="C281" s="958" t="s">
        <v>0</v>
      </c>
      <c r="D281" s="478"/>
      <c r="E281" s="1916"/>
      <c r="F281" s="1917"/>
      <c r="G281" s="1917"/>
      <c r="H281" s="1917"/>
      <c r="I281" s="1917"/>
      <c r="J281" s="1917"/>
      <c r="K281" s="1917"/>
      <c r="L281" s="1917"/>
      <c r="M281" s="1917"/>
      <c r="N281" s="1917"/>
      <c r="O281" s="1917"/>
      <c r="P281" s="1917"/>
      <c r="Q281" s="1917"/>
      <c r="R281" s="1917"/>
      <c r="S281" s="1917"/>
      <c r="T281" s="1917"/>
      <c r="U281" s="1917"/>
      <c r="V281" s="1917"/>
      <c r="W281" s="1917"/>
      <c r="X281" s="1917"/>
      <c r="Y281" s="1917"/>
      <c r="Z281" s="1917"/>
      <c r="AA281" s="1917"/>
      <c r="AB281" s="1918"/>
    </row>
    <row r="282" spans="1:28" ht="13.5" thickBot="1" x14ac:dyDescent="0.25">
      <c r="A282" s="8" t="s">
        <v>220</v>
      </c>
      <c r="B282" s="2368"/>
      <c r="C282" s="867"/>
      <c r="D282" s="934"/>
      <c r="E282" s="1919"/>
      <c r="F282" s="1920"/>
      <c r="G282" s="1920"/>
      <c r="H282" s="1920"/>
      <c r="I282" s="1920"/>
      <c r="J282" s="1920"/>
      <c r="K282" s="1920"/>
      <c r="L282" s="1920"/>
      <c r="M282" s="1920"/>
      <c r="N282" s="1920"/>
      <c r="O282" s="1920"/>
      <c r="P282" s="1920"/>
      <c r="Q282" s="1920"/>
      <c r="R282" s="1920"/>
      <c r="S282" s="1920"/>
      <c r="T282" s="1920"/>
      <c r="U282" s="1920"/>
      <c r="V282" s="1920"/>
      <c r="W282" s="1920"/>
      <c r="X282" s="1920"/>
      <c r="Y282" s="1920"/>
      <c r="Z282" s="1920"/>
      <c r="AA282" s="1920"/>
      <c r="AB282" s="1921"/>
    </row>
    <row r="283" spans="1:28" x14ac:dyDescent="0.2">
      <c r="A283" s="8" t="s">
        <v>220</v>
      </c>
      <c r="B283" s="1912"/>
      <c r="C283" s="1889"/>
      <c r="D283" s="1889"/>
      <c r="E283" s="1889"/>
      <c r="F283" s="1889"/>
      <c r="G283" s="1889"/>
      <c r="H283" s="1889"/>
      <c r="I283" s="1889"/>
      <c r="J283" s="1889"/>
      <c r="K283" s="1889"/>
      <c r="L283" s="1889"/>
      <c r="M283" s="1889"/>
      <c r="N283" s="1889"/>
      <c r="O283" s="1889"/>
      <c r="P283" s="1889"/>
      <c r="Q283" s="1889"/>
      <c r="R283" s="1889"/>
      <c r="S283" s="1889"/>
      <c r="T283" s="1889"/>
      <c r="U283" s="1889"/>
      <c r="V283" s="1889"/>
      <c r="W283" s="1889"/>
      <c r="X283" s="1889"/>
      <c r="Y283" s="1889"/>
      <c r="Z283" s="1889"/>
      <c r="AA283" s="1889"/>
      <c r="AB283" s="1890"/>
    </row>
    <row r="284" spans="1:28" ht="13.5" thickBot="1" x14ac:dyDescent="0.25">
      <c r="A284" s="8" t="s">
        <v>220</v>
      </c>
      <c r="B284" s="1913"/>
      <c r="C284" s="1914"/>
      <c r="D284" s="1914"/>
      <c r="E284" s="1914"/>
      <c r="F284" s="1914"/>
      <c r="G284" s="1914"/>
      <c r="H284" s="1914"/>
      <c r="I284" s="1914"/>
      <c r="J284" s="1914"/>
      <c r="K284" s="1914"/>
      <c r="L284" s="1914"/>
      <c r="M284" s="1914"/>
      <c r="N284" s="1914"/>
      <c r="O284" s="1914"/>
      <c r="P284" s="1914"/>
      <c r="Q284" s="1914"/>
      <c r="R284" s="1914"/>
      <c r="S284" s="1914"/>
      <c r="T284" s="1914"/>
      <c r="U284" s="1914"/>
      <c r="V284" s="1914"/>
      <c r="W284" s="1914"/>
      <c r="X284" s="1914"/>
      <c r="Y284" s="1914"/>
      <c r="Z284" s="1914"/>
      <c r="AA284" s="1914"/>
      <c r="AB284" s="1915"/>
    </row>
    <row r="285" spans="1:28" ht="12.95" customHeight="1" thickBot="1" x14ac:dyDescent="0.25">
      <c r="A285" s="8" t="s">
        <v>220</v>
      </c>
      <c r="B285" s="911" t="s">
        <v>28</v>
      </c>
      <c r="C285" s="475" t="s">
        <v>27</v>
      </c>
      <c r="D285" s="479"/>
      <c r="E285" s="1878" t="s">
        <v>447</v>
      </c>
      <c r="F285" s="1883"/>
      <c r="G285" s="1883"/>
      <c r="H285" s="1883"/>
      <c r="I285" s="1883"/>
      <c r="J285" s="1884"/>
      <c r="K285" s="1982" t="s">
        <v>327</v>
      </c>
      <c r="L285" s="2004"/>
      <c r="M285" s="2004"/>
      <c r="N285" s="2004"/>
      <c r="O285" s="2004"/>
      <c r="P285" s="2005"/>
      <c r="Q285" s="2316" t="s">
        <v>163</v>
      </c>
      <c r="R285" s="2317"/>
      <c r="S285" s="2317"/>
      <c r="T285" s="2317"/>
      <c r="U285" s="2317"/>
      <c r="V285" s="2318"/>
      <c r="W285" s="1881" t="s">
        <v>162</v>
      </c>
      <c r="X285" s="1882"/>
      <c r="Y285" s="1882"/>
      <c r="Z285" s="1882"/>
      <c r="AA285" s="1882"/>
      <c r="AB285" s="1947"/>
    </row>
    <row r="286" spans="1:28" ht="13.5" customHeight="1" x14ac:dyDescent="0.2">
      <c r="A286" s="8" t="s">
        <v>220</v>
      </c>
      <c r="B286" s="1837" t="s">
        <v>62</v>
      </c>
      <c r="C286" s="2283" t="s">
        <v>185</v>
      </c>
      <c r="D286" s="2063" t="s">
        <v>12</v>
      </c>
      <c r="E286" s="488" t="s">
        <v>339</v>
      </c>
      <c r="F286" s="487"/>
      <c r="G286" s="487" t="s">
        <v>448</v>
      </c>
      <c r="H286" s="487"/>
      <c r="I286" s="487"/>
      <c r="J286" s="487"/>
      <c r="K286" s="2006" t="s">
        <v>26</v>
      </c>
      <c r="L286" s="2007"/>
      <c r="M286" s="2007"/>
      <c r="N286" s="2007"/>
      <c r="O286" s="2007"/>
      <c r="P286" s="2007"/>
      <c r="Q286" s="1973"/>
      <c r="R286" s="1963"/>
      <c r="S286" s="1963"/>
      <c r="T286" s="1963"/>
      <c r="U286" s="1963"/>
      <c r="V286" s="1974"/>
      <c r="W286" s="1973"/>
      <c r="X286" s="1963"/>
      <c r="Y286" s="1963"/>
      <c r="Z286" s="1963"/>
      <c r="AA286" s="1963"/>
      <c r="AB286" s="1974"/>
    </row>
    <row r="287" spans="1:28" ht="13.5" customHeight="1" x14ac:dyDescent="0.2">
      <c r="A287" s="8" t="s">
        <v>220</v>
      </c>
      <c r="B287" s="1838"/>
      <c r="C287" s="1980"/>
      <c r="D287" s="2064"/>
      <c r="E287" s="1946" t="s">
        <v>73</v>
      </c>
      <c r="F287" s="1946"/>
      <c r="G287" s="1946"/>
      <c r="H287" s="1946"/>
      <c r="I287" s="1946"/>
      <c r="J287" s="1946"/>
      <c r="K287" s="1871" t="s">
        <v>73</v>
      </c>
      <c r="L287" s="1872"/>
      <c r="M287" s="1872"/>
      <c r="N287" s="1876">
        <v>2110</v>
      </c>
      <c r="O287" s="1876"/>
      <c r="P287" s="1876"/>
      <c r="Q287" s="1930" t="s">
        <v>507</v>
      </c>
      <c r="R287" s="1855"/>
      <c r="S287" s="1855"/>
      <c r="T287" s="1855"/>
      <c r="U287" s="1855"/>
      <c r="V287" s="1856"/>
      <c r="W287" s="1930" t="s">
        <v>509</v>
      </c>
      <c r="X287" s="1855"/>
      <c r="Y287" s="1855"/>
      <c r="Z287" s="1855"/>
      <c r="AA287" s="1855"/>
      <c r="AB287" s="1856"/>
    </row>
    <row r="288" spans="1:28" ht="13.5" customHeight="1" x14ac:dyDescent="0.2">
      <c r="A288" s="8" t="s">
        <v>220</v>
      </c>
      <c r="B288" s="1838"/>
      <c r="C288" s="1980"/>
      <c r="D288" s="2064"/>
      <c r="E288" s="1946" t="s">
        <v>74</v>
      </c>
      <c r="F288" s="1946"/>
      <c r="G288" s="1946"/>
      <c r="H288" s="1946"/>
      <c r="I288" s="1946"/>
      <c r="J288" s="1946"/>
      <c r="K288" s="1871" t="s">
        <v>74</v>
      </c>
      <c r="L288" s="1872"/>
      <c r="M288" s="1872"/>
      <c r="N288" s="1876">
        <v>1620</v>
      </c>
      <c r="O288" s="1876"/>
      <c r="P288" s="1876"/>
      <c r="Q288" s="1930" t="s">
        <v>508</v>
      </c>
      <c r="R288" s="1855"/>
      <c r="S288" s="1855"/>
      <c r="T288" s="1855"/>
      <c r="U288" s="1855"/>
      <c r="V288" s="1856"/>
      <c r="W288" s="1930" t="s">
        <v>1664</v>
      </c>
      <c r="X288" s="1855"/>
      <c r="Y288" s="1855"/>
      <c r="Z288" s="1855"/>
      <c r="AA288" s="1855"/>
      <c r="AB288" s="1856"/>
    </row>
    <row r="289" spans="1:28" ht="13.5" customHeight="1" thickBot="1" x14ac:dyDescent="0.25">
      <c r="A289" s="8" t="s">
        <v>220</v>
      </c>
      <c r="B289" s="1838"/>
      <c r="C289" s="1980"/>
      <c r="D289" s="731"/>
      <c r="E289" s="1848"/>
      <c r="F289" s="1848"/>
      <c r="G289" s="1848"/>
      <c r="H289" s="1848"/>
      <c r="I289" s="1848"/>
      <c r="J289" s="1848"/>
      <c r="K289" s="1910" t="s">
        <v>76</v>
      </c>
      <c r="L289" s="1911"/>
      <c r="M289" s="1911"/>
      <c r="N289" s="1969" t="s">
        <v>141</v>
      </c>
      <c r="O289" s="1969"/>
      <c r="P289" s="1969"/>
      <c r="Q289" s="1970" t="s">
        <v>135</v>
      </c>
      <c r="R289" s="1971"/>
      <c r="S289" s="1971"/>
      <c r="T289" s="1971"/>
      <c r="U289" s="1971"/>
      <c r="V289" s="1972"/>
      <c r="W289" s="1970" t="s">
        <v>135</v>
      </c>
      <c r="X289" s="1971"/>
      <c r="Y289" s="1971"/>
      <c r="Z289" s="1971"/>
      <c r="AA289" s="1971"/>
      <c r="AB289" s="1972"/>
    </row>
    <row r="290" spans="1:28" ht="13.5" customHeight="1" x14ac:dyDescent="0.2">
      <c r="A290" s="8" t="s">
        <v>220</v>
      </c>
      <c r="B290" s="1838"/>
      <c r="C290" s="1980"/>
      <c r="D290" s="2063" t="s">
        <v>10</v>
      </c>
      <c r="E290" s="2007" t="s">
        <v>71</v>
      </c>
      <c r="F290" s="2007"/>
      <c r="G290" s="2007"/>
      <c r="H290" s="2007"/>
      <c r="I290" s="2007"/>
      <c r="J290" s="2008"/>
      <c r="K290" s="2134" t="s">
        <v>71</v>
      </c>
      <c r="L290" s="2135"/>
      <c r="M290" s="2135"/>
      <c r="N290" s="2135"/>
      <c r="O290" s="2135"/>
      <c r="P290" s="2394"/>
      <c r="Q290" s="1975" t="s">
        <v>1233</v>
      </c>
      <c r="R290" s="1976"/>
      <c r="S290" s="1976"/>
      <c r="T290" s="1976"/>
      <c r="U290" s="1976"/>
      <c r="V290" s="1977"/>
      <c r="W290" s="1939" t="s">
        <v>1484</v>
      </c>
      <c r="X290" s="1940"/>
      <c r="Y290" s="1940"/>
      <c r="Z290" s="1940"/>
      <c r="AA290" s="1940"/>
      <c r="AB290" s="1941"/>
    </row>
    <row r="291" spans="1:28" ht="13.5" customHeight="1" x14ac:dyDescent="0.2">
      <c r="A291" s="8" t="s">
        <v>220</v>
      </c>
      <c r="B291" s="1838"/>
      <c r="C291" s="1980"/>
      <c r="D291" s="2064"/>
      <c r="E291" s="1872" t="s">
        <v>112</v>
      </c>
      <c r="F291" s="1872"/>
      <c r="G291" s="1946"/>
      <c r="H291" s="1946"/>
      <c r="I291" s="1946"/>
      <c r="J291" s="2321"/>
      <c r="K291" s="1871" t="s">
        <v>112</v>
      </c>
      <c r="L291" s="1872"/>
      <c r="M291" s="1872"/>
      <c r="N291" s="1950" t="s">
        <v>1220</v>
      </c>
      <c r="O291" s="1950"/>
      <c r="P291" s="1951"/>
      <c r="Q291" s="2350" t="s">
        <v>1234</v>
      </c>
      <c r="R291" s="2130"/>
      <c r="S291" s="2130"/>
      <c r="T291" s="2130"/>
      <c r="U291" s="2130"/>
      <c r="V291" s="2131"/>
      <c r="W291" s="2363" t="s">
        <v>1485</v>
      </c>
      <c r="X291" s="2364"/>
      <c r="Y291" s="2364"/>
      <c r="Z291" s="2364"/>
      <c r="AA291" s="2364"/>
      <c r="AB291" s="2365"/>
    </row>
    <row r="292" spans="1:28" ht="13.5" customHeight="1" x14ac:dyDescent="0.2">
      <c r="A292" s="8" t="s">
        <v>220</v>
      </c>
      <c r="B292" s="1838"/>
      <c r="C292" s="1980"/>
      <c r="D292" s="2064"/>
      <c r="E292" s="1872" t="s">
        <v>113</v>
      </c>
      <c r="F292" s="1872"/>
      <c r="G292" s="1946"/>
      <c r="H292" s="1946"/>
      <c r="I292" s="1946"/>
      <c r="J292" s="2321"/>
      <c r="K292" s="2369" t="s">
        <v>113</v>
      </c>
      <c r="L292" s="2370"/>
      <c r="M292" s="2370"/>
      <c r="N292" s="1952"/>
      <c r="O292" s="1952"/>
      <c r="P292" s="1953"/>
      <c r="Q292" s="2375" t="s">
        <v>1235</v>
      </c>
      <c r="R292" s="2376"/>
      <c r="S292" s="2376"/>
      <c r="T292" s="2376"/>
      <c r="U292" s="2376"/>
      <c r="V292" s="2377"/>
      <c r="W292" s="1939" t="s">
        <v>1486</v>
      </c>
      <c r="X292" s="1940"/>
      <c r="Y292" s="1940"/>
      <c r="Z292" s="1940"/>
      <c r="AA292" s="1940"/>
      <c r="AB292" s="1941"/>
    </row>
    <row r="293" spans="1:28" ht="13.5" customHeight="1" thickBot="1" x14ac:dyDescent="0.25">
      <c r="A293" s="8" t="s">
        <v>220</v>
      </c>
      <c r="B293" s="1838"/>
      <c r="C293" s="1980"/>
      <c r="D293" s="731"/>
      <c r="E293" s="1872" t="s">
        <v>111</v>
      </c>
      <c r="F293" s="1872"/>
      <c r="G293" s="1872" t="s">
        <v>138</v>
      </c>
      <c r="H293" s="1872"/>
      <c r="I293" s="1872"/>
      <c r="J293" s="1949"/>
      <c r="K293" s="1871" t="s">
        <v>111</v>
      </c>
      <c r="L293" s="1872"/>
      <c r="M293" s="1872"/>
      <c r="N293" s="1855">
        <v>3171</v>
      </c>
      <c r="O293" s="1855"/>
      <c r="P293" s="1856"/>
      <c r="Q293" s="1931"/>
      <c r="R293" s="1876"/>
      <c r="S293" s="1876"/>
      <c r="T293" s="1876"/>
      <c r="U293" s="1876"/>
      <c r="V293" s="1877"/>
      <c r="W293" s="1931"/>
      <c r="X293" s="1876"/>
      <c r="Y293" s="1876"/>
      <c r="Z293" s="1876"/>
      <c r="AA293" s="1876"/>
      <c r="AB293" s="1877"/>
    </row>
    <row r="294" spans="1:28" ht="12.75" customHeight="1" thickBot="1" x14ac:dyDescent="0.25">
      <c r="A294" s="8" t="s">
        <v>221</v>
      </c>
      <c r="B294" s="1838"/>
      <c r="C294" s="1980"/>
      <c r="D294" s="733" t="s">
        <v>12</v>
      </c>
      <c r="E294" s="753" t="s">
        <v>18</v>
      </c>
      <c r="F294" s="753" t="s">
        <v>17</v>
      </c>
      <c r="G294" s="753" t="s">
        <v>16</v>
      </c>
      <c r="H294" s="753" t="s">
        <v>15</v>
      </c>
      <c r="I294" s="753" t="s">
        <v>14</v>
      </c>
      <c r="J294" s="753" t="s">
        <v>13</v>
      </c>
      <c r="K294" s="409" t="s">
        <v>18</v>
      </c>
      <c r="L294" s="409" t="s">
        <v>17</v>
      </c>
      <c r="M294" s="410" t="s">
        <v>16</v>
      </c>
      <c r="N294" s="409" t="s">
        <v>15</v>
      </c>
      <c r="O294" s="409" t="s">
        <v>14</v>
      </c>
      <c r="P294" s="409" t="s">
        <v>13</v>
      </c>
      <c r="Q294" s="411" t="s">
        <v>18</v>
      </c>
      <c r="R294" s="413" t="s">
        <v>17</v>
      </c>
      <c r="S294" s="413" t="s">
        <v>16</v>
      </c>
      <c r="T294" s="413" t="s">
        <v>15</v>
      </c>
      <c r="U294" s="413" t="s">
        <v>14</v>
      </c>
      <c r="V294" s="414" t="s">
        <v>13</v>
      </c>
      <c r="W294" s="632" t="s">
        <v>18</v>
      </c>
      <c r="X294" s="413" t="s">
        <v>17</v>
      </c>
      <c r="Y294" s="413" t="s">
        <v>16</v>
      </c>
      <c r="Z294" s="413" t="s">
        <v>15</v>
      </c>
      <c r="AA294" s="413" t="s">
        <v>14</v>
      </c>
      <c r="AB294" s="414" t="s">
        <v>13</v>
      </c>
    </row>
    <row r="295" spans="1:28" ht="25.5" customHeight="1" x14ac:dyDescent="0.2">
      <c r="A295" s="8" t="s">
        <v>221</v>
      </c>
      <c r="B295" s="1838"/>
      <c r="C295" s="1980"/>
      <c r="D295" s="490" t="s">
        <v>188</v>
      </c>
      <c r="E295" s="2117" t="s">
        <v>449</v>
      </c>
      <c r="F295" s="2117"/>
      <c r="G295" s="2117"/>
      <c r="H295" s="691"/>
      <c r="I295" s="691"/>
      <c r="J295" s="485"/>
      <c r="K295" s="692"/>
      <c r="L295" s="691"/>
      <c r="M295" s="486"/>
      <c r="N295" s="486"/>
      <c r="O295" s="486"/>
      <c r="P295" s="486"/>
      <c r="Q295" s="493" t="s">
        <v>460</v>
      </c>
      <c r="R295" s="494" t="s">
        <v>461</v>
      </c>
      <c r="S295" s="494" t="s">
        <v>462</v>
      </c>
      <c r="T295" s="494" t="s">
        <v>463</v>
      </c>
      <c r="U295" s="494" t="s">
        <v>464</v>
      </c>
      <c r="V295" s="496" t="s">
        <v>465</v>
      </c>
      <c r="W295" s="493" t="s">
        <v>470</v>
      </c>
      <c r="X295" s="494" t="s">
        <v>471</v>
      </c>
      <c r="Y295" s="494" t="s">
        <v>472</v>
      </c>
      <c r="Z295" s="494" t="s">
        <v>473</v>
      </c>
      <c r="AA295" s="494" t="s">
        <v>1437</v>
      </c>
      <c r="AB295" s="495" t="s">
        <v>474</v>
      </c>
    </row>
    <row r="296" spans="1:28" ht="26.25" customHeight="1" thickBot="1" x14ac:dyDescent="0.25">
      <c r="A296" s="8" t="s">
        <v>221</v>
      </c>
      <c r="B296" s="1838"/>
      <c r="C296" s="1980"/>
      <c r="D296" s="490" t="s">
        <v>189</v>
      </c>
      <c r="E296" s="690"/>
      <c r="F296" s="690"/>
      <c r="G296" s="690"/>
      <c r="H296" s="690"/>
      <c r="I296" s="690"/>
      <c r="J296" s="723"/>
      <c r="K296" s="640"/>
      <c r="L296" s="641"/>
      <c r="M296" s="959"/>
      <c r="N296" s="959"/>
      <c r="O296" s="959"/>
      <c r="P296" s="959"/>
      <c r="Q296" s="421" t="s">
        <v>466</v>
      </c>
      <c r="R296" s="389" t="s">
        <v>461</v>
      </c>
      <c r="S296" s="389" t="s">
        <v>467</v>
      </c>
      <c r="T296" s="389" t="s">
        <v>463</v>
      </c>
      <c r="U296" s="389" t="s">
        <v>468</v>
      </c>
      <c r="V296" s="422" t="s">
        <v>469</v>
      </c>
      <c r="W296" s="421" t="s">
        <v>475</v>
      </c>
      <c r="X296" s="389" t="s">
        <v>476</v>
      </c>
      <c r="Y296" s="389" t="s">
        <v>477</v>
      </c>
      <c r="Z296" s="389" t="s">
        <v>478</v>
      </c>
      <c r="AA296" s="389" t="s">
        <v>1435</v>
      </c>
      <c r="AB296" s="423" t="s">
        <v>480</v>
      </c>
    </row>
    <row r="297" spans="1:28" ht="26.25" customHeight="1" thickBot="1" x14ac:dyDescent="0.25">
      <c r="A297" s="8" t="s">
        <v>221</v>
      </c>
      <c r="B297" s="1838"/>
      <c r="C297" s="1980"/>
      <c r="D297" s="960" t="s">
        <v>68</v>
      </c>
      <c r="E297" s="690"/>
      <c r="F297" s="1946"/>
      <c r="G297" s="1946"/>
      <c r="H297" s="1946"/>
      <c r="I297" s="690"/>
      <c r="J297" s="723"/>
      <c r="K297" s="499" t="s">
        <v>343</v>
      </c>
      <c r="L297" s="500" t="s">
        <v>344</v>
      </c>
      <c r="M297" s="433" t="s">
        <v>345</v>
      </c>
      <c r="N297" s="433" t="s">
        <v>346</v>
      </c>
      <c r="O297" s="433" t="s">
        <v>347</v>
      </c>
      <c r="P297" s="434" t="s">
        <v>348</v>
      </c>
      <c r="Q297" s="435" t="s">
        <v>190</v>
      </c>
      <c r="R297" s="433" t="s">
        <v>191</v>
      </c>
      <c r="S297" s="433" t="s">
        <v>192</v>
      </c>
      <c r="T297" s="433" t="s">
        <v>193</v>
      </c>
      <c r="U297" s="433" t="s">
        <v>194</v>
      </c>
      <c r="V297" s="434" t="s">
        <v>195</v>
      </c>
      <c r="W297" s="435" t="s">
        <v>196</v>
      </c>
      <c r="X297" s="433" t="s">
        <v>197</v>
      </c>
      <c r="Y297" s="433" t="s">
        <v>198</v>
      </c>
      <c r="Z297" s="433" t="s">
        <v>199</v>
      </c>
      <c r="AA297" s="433" t="s">
        <v>1436</v>
      </c>
      <c r="AB297" s="436" t="s">
        <v>200</v>
      </c>
    </row>
    <row r="298" spans="1:28" ht="26.25" customHeight="1" thickBot="1" x14ac:dyDescent="0.25">
      <c r="A298" s="8" t="s">
        <v>221</v>
      </c>
      <c r="B298" s="1838"/>
      <c r="C298" s="1980"/>
      <c r="D298" s="731" t="s">
        <v>10</v>
      </c>
      <c r="E298" s="1240"/>
      <c r="F298" s="1241"/>
      <c r="G298" s="1241"/>
      <c r="H298" s="1241"/>
      <c r="I298" s="1241"/>
      <c r="J298" s="1242"/>
      <c r="K298" s="511"/>
      <c r="L298" s="503"/>
      <c r="M298" s="504"/>
      <c r="N298" s="504"/>
      <c r="O298" s="504"/>
      <c r="P298" s="505"/>
      <c r="Q298" s="498" t="s">
        <v>216</v>
      </c>
      <c r="R298" s="463"/>
      <c r="S298" s="463"/>
      <c r="T298" s="463"/>
      <c r="U298" s="463"/>
      <c r="V298" s="464"/>
      <c r="W298" s="498"/>
      <c r="X298" s="463"/>
      <c r="Y298" s="463"/>
      <c r="Z298" s="463"/>
      <c r="AA298" s="463"/>
      <c r="AB298" s="464"/>
    </row>
    <row r="299" spans="1:28" ht="13.5" customHeight="1" thickBot="1" x14ac:dyDescent="0.25">
      <c r="A299" s="8" t="s">
        <v>221</v>
      </c>
      <c r="B299" s="1838"/>
      <c r="C299" s="1980"/>
      <c r="D299" s="490" t="s">
        <v>188</v>
      </c>
      <c r="E299" s="1243"/>
      <c r="F299" s="1244"/>
      <c r="G299" s="1244"/>
      <c r="H299" s="1244"/>
      <c r="I299" s="1244"/>
      <c r="J299" s="1245"/>
      <c r="K299" s="512"/>
      <c r="L299" s="501"/>
      <c r="M299" s="502"/>
      <c r="N299" s="502"/>
      <c r="O299" s="502"/>
      <c r="P299" s="507"/>
      <c r="Q299" s="1265" t="s">
        <v>1236</v>
      </c>
      <c r="R299" s="1266" t="s">
        <v>1237</v>
      </c>
      <c r="S299" s="1266" t="s">
        <v>1238</v>
      </c>
      <c r="T299" s="1266" t="s">
        <v>1239</v>
      </c>
      <c r="U299" s="1266" t="s">
        <v>1240</v>
      </c>
      <c r="V299" s="1267" t="s">
        <v>1241</v>
      </c>
      <c r="W299" s="1773" t="s">
        <v>1487</v>
      </c>
      <c r="X299" s="1774" t="s">
        <v>1488</v>
      </c>
      <c r="Y299" s="1774" t="s">
        <v>1489</v>
      </c>
      <c r="Z299" s="1774" t="s">
        <v>1490</v>
      </c>
      <c r="AA299" s="1774" t="s">
        <v>1491</v>
      </c>
      <c r="AB299" s="1774" t="s">
        <v>470</v>
      </c>
    </row>
    <row r="300" spans="1:28" ht="13.5" customHeight="1" thickBot="1" x14ac:dyDescent="0.25">
      <c r="A300" s="8" t="s">
        <v>221</v>
      </c>
      <c r="B300" s="1838"/>
      <c r="C300" s="1980"/>
      <c r="D300" s="490" t="s">
        <v>189</v>
      </c>
      <c r="E300" s="1243"/>
      <c r="F300" s="1244"/>
      <c r="G300" s="1244"/>
      <c r="H300" s="1244"/>
      <c r="I300" s="1244"/>
      <c r="J300" s="1245"/>
      <c r="K300" s="512"/>
      <c r="L300" s="501"/>
      <c r="M300" s="502"/>
      <c r="N300" s="502"/>
      <c r="O300" s="502"/>
      <c r="P300" s="507"/>
      <c r="Q300" s="1265" t="s">
        <v>1242</v>
      </c>
      <c r="R300" s="1266" t="s">
        <v>1243</v>
      </c>
      <c r="S300" s="1266" t="s">
        <v>1244</v>
      </c>
      <c r="T300" s="1394" t="s">
        <v>1245</v>
      </c>
      <c r="U300" s="1394" t="s">
        <v>1246</v>
      </c>
      <c r="V300" s="1267" t="s">
        <v>1247</v>
      </c>
      <c r="W300" s="1775" t="s">
        <v>1492</v>
      </c>
      <c r="X300" s="1776" t="s">
        <v>1493</v>
      </c>
      <c r="Y300" s="1776" t="s">
        <v>1494</v>
      </c>
      <c r="Z300" s="1777" t="s">
        <v>1495</v>
      </c>
      <c r="AA300" s="1776" t="s">
        <v>1496</v>
      </c>
      <c r="AB300" s="1776" t="s">
        <v>1497</v>
      </c>
    </row>
    <row r="301" spans="1:28" ht="26.25" thickBot="1" x14ac:dyDescent="0.25">
      <c r="A301" s="8" t="s">
        <v>221</v>
      </c>
      <c r="B301" s="1838"/>
      <c r="C301" s="1980"/>
      <c r="D301" s="960" t="s">
        <v>68</v>
      </c>
      <c r="E301" s="1246"/>
      <c r="F301" s="1247"/>
      <c r="G301" s="1247"/>
      <c r="H301" s="1247"/>
      <c r="I301" s="1247"/>
      <c r="J301" s="1248"/>
      <c r="K301" s="513" t="s">
        <v>481</v>
      </c>
      <c r="L301" s="508" t="s">
        <v>482</v>
      </c>
      <c r="M301" s="424" t="s">
        <v>483</v>
      </c>
      <c r="N301" s="1298" t="s">
        <v>357</v>
      </c>
      <c r="O301" s="424" t="s">
        <v>484</v>
      </c>
      <c r="P301" s="425" t="s">
        <v>485</v>
      </c>
      <c r="Q301" s="1268" t="s">
        <v>1248</v>
      </c>
      <c r="R301" s="1269" t="s">
        <v>1249</v>
      </c>
      <c r="S301" s="1269" t="s">
        <v>1250</v>
      </c>
      <c r="T301" s="1269" t="s">
        <v>1251</v>
      </c>
      <c r="U301" s="1269" t="s">
        <v>1252</v>
      </c>
      <c r="V301" s="1270" t="s">
        <v>1253</v>
      </c>
      <c r="W301" s="1778" t="s">
        <v>1498</v>
      </c>
      <c r="X301" s="1779" t="s">
        <v>1499</v>
      </c>
      <c r="Y301" s="1780" t="s">
        <v>1500</v>
      </c>
      <c r="Z301" s="1779" t="s">
        <v>1501</v>
      </c>
      <c r="AA301" s="1780" t="s">
        <v>1502</v>
      </c>
      <c r="AB301" s="1780" t="s">
        <v>1558</v>
      </c>
    </row>
    <row r="302" spans="1:28" ht="12.95" customHeight="1" thickBot="1" x14ac:dyDescent="0.25">
      <c r="A302" s="8" t="s">
        <v>220</v>
      </c>
      <c r="B302" s="1838"/>
      <c r="C302" s="909"/>
      <c r="D302" s="1894" t="s">
        <v>226</v>
      </c>
      <c r="E302" s="1895"/>
      <c r="F302" s="1895"/>
      <c r="G302" s="1895"/>
      <c r="H302" s="1895"/>
      <c r="I302" s="1895"/>
      <c r="J302" s="1895"/>
      <c r="K302" s="1895"/>
      <c r="L302" s="1895"/>
      <c r="M302" s="1895"/>
      <c r="N302" s="1895"/>
      <c r="O302" s="1895"/>
      <c r="P302" s="1895"/>
      <c r="Q302" s="1895"/>
      <c r="R302" s="1895"/>
      <c r="S302" s="1895"/>
      <c r="T302" s="1895"/>
      <c r="U302" s="1895"/>
      <c r="V302" s="1895"/>
      <c r="W302" s="1895"/>
      <c r="X302" s="1895"/>
      <c r="Y302" s="1895"/>
      <c r="Z302" s="1895"/>
      <c r="AA302" s="1895"/>
      <c r="AB302" s="1896"/>
    </row>
    <row r="303" spans="1:28" ht="12.95" customHeight="1" thickBot="1" x14ac:dyDescent="0.25">
      <c r="A303" s="8" t="s">
        <v>220</v>
      </c>
      <c r="B303" s="1838"/>
      <c r="C303" s="859" t="s">
        <v>24</v>
      </c>
      <c r="D303" s="961"/>
      <c r="E303" s="1982" t="s">
        <v>450</v>
      </c>
      <c r="F303" s="1983"/>
      <c r="G303" s="1983"/>
      <c r="H303" s="1983"/>
      <c r="I303" s="1983"/>
      <c r="J303" s="1984"/>
      <c r="K303" s="1878" t="s">
        <v>327</v>
      </c>
      <c r="L303" s="1879"/>
      <c r="M303" s="1879"/>
      <c r="N303" s="1879"/>
      <c r="O303" s="1879"/>
      <c r="P303" s="1880"/>
      <c r="Q303" s="2058" t="s">
        <v>163</v>
      </c>
      <c r="R303" s="2059"/>
      <c r="S303" s="2059"/>
      <c r="T303" s="2059"/>
      <c r="U303" s="2059"/>
      <c r="V303" s="2060"/>
      <c r="W303" s="1881" t="s">
        <v>162</v>
      </c>
      <c r="X303" s="1882"/>
      <c r="Y303" s="1882"/>
      <c r="Z303" s="1882"/>
      <c r="AA303" s="1882"/>
      <c r="AB303" s="1947"/>
    </row>
    <row r="304" spans="1:28" ht="12.95" customHeight="1" x14ac:dyDescent="0.2">
      <c r="A304" s="8" t="s">
        <v>220</v>
      </c>
      <c r="B304" s="1838"/>
      <c r="C304" s="2366" t="s">
        <v>136</v>
      </c>
      <c r="D304" s="489" t="s">
        <v>12</v>
      </c>
      <c r="E304" s="2104" t="s">
        <v>75</v>
      </c>
      <c r="F304" s="2105"/>
      <c r="G304" s="514"/>
      <c r="H304" s="515"/>
      <c r="I304" s="515"/>
      <c r="J304" s="516"/>
      <c r="K304" s="2006" t="s">
        <v>75</v>
      </c>
      <c r="L304" s="2007"/>
      <c r="M304" s="2007"/>
      <c r="N304" s="2007"/>
      <c r="O304" s="2007"/>
      <c r="P304" s="2008"/>
      <c r="Q304" s="2006"/>
      <c r="R304" s="2007"/>
      <c r="S304" s="2007"/>
      <c r="T304" s="2007"/>
      <c r="U304" s="2007"/>
      <c r="V304" s="2008"/>
      <c r="W304" s="2006"/>
      <c r="X304" s="2007"/>
      <c r="Y304" s="2007"/>
      <c r="Z304" s="2007"/>
      <c r="AA304" s="2007"/>
      <c r="AB304" s="2008"/>
    </row>
    <row r="305" spans="1:28" ht="12.95" customHeight="1" x14ac:dyDescent="0.2">
      <c r="A305" s="8" t="s">
        <v>220</v>
      </c>
      <c r="B305" s="1838"/>
      <c r="C305" s="1836"/>
      <c r="D305" s="489"/>
      <c r="E305" s="1945" t="s">
        <v>80</v>
      </c>
      <c r="F305" s="1946"/>
      <c r="G305" s="1946"/>
      <c r="H305" s="1946"/>
      <c r="I305" s="1946"/>
      <c r="J305" s="2321"/>
      <c r="K305" s="1871" t="s">
        <v>80</v>
      </c>
      <c r="L305" s="1872"/>
      <c r="M305" s="1872"/>
      <c r="N305" s="1876">
        <v>4026</v>
      </c>
      <c r="O305" s="1876"/>
      <c r="P305" s="1877"/>
      <c r="Q305" s="1931">
        <v>5022</v>
      </c>
      <c r="R305" s="1876"/>
      <c r="S305" s="1876"/>
      <c r="T305" s="1876"/>
      <c r="U305" s="1876"/>
      <c r="V305" s="1877"/>
      <c r="W305" s="1931">
        <v>3426</v>
      </c>
      <c r="X305" s="1876"/>
      <c r="Y305" s="1876"/>
      <c r="Z305" s="1876"/>
      <c r="AA305" s="1876"/>
      <c r="AB305" s="1877"/>
    </row>
    <row r="306" spans="1:28" ht="12.75" customHeight="1" x14ac:dyDescent="0.2">
      <c r="A306" s="8" t="s">
        <v>220</v>
      </c>
      <c r="B306" s="1838"/>
      <c r="C306" s="1836"/>
      <c r="D306" s="489"/>
      <c r="E306" s="1945" t="s">
        <v>81</v>
      </c>
      <c r="F306" s="1946"/>
      <c r="G306" s="1946"/>
      <c r="H306" s="1946"/>
      <c r="I306" s="1946"/>
      <c r="J306" s="2321"/>
      <c r="K306" s="1871" t="s">
        <v>81</v>
      </c>
      <c r="L306" s="1872"/>
      <c r="M306" s="1872"/>
      <c r="N306" s="1876">
        <v>1620</v>
      </c>
      <c r="O306" s="1876"/>
      <c r="P306" s="1877"/>
      <c r="Q306" s="1931">
        <v>2837</v>
      </c>
      <c r="R306" s="1876"/>
      <c r="S306" s="1876"/>
      <c r="T306" s="1876"/>
      <c r="U306" s="1876"/>
      <c r="V306" s="1877"/>
      <c r="W306" s="1931">
        <v>5051</v>
      </c>
      <c r="X306" s="1876"/>
      <c r="Y306" s="1876"/>
      <c r="Z306" s="1876"/>
      <c r="AA306" s="1876"/>
      <c r="AB306" s="1877"/>
    </row>
    <row r="307" spans="1:28" ht="12.95" customHeight="1" thickBot="1" x14ac:dyDescent="0.25">
      <c r="A307" s="8" t="s">
        <v>220</v>
      </c>
      <c r="B307" s="1838"/>
      <c r="C307" s="1836"/>
      <c r="D307" s="489"/>
      <c r="E307" s="2118" t="s">
        <v>72</v>
      </c>
      <c r="F307" s="2119"/>
      <c r="G307" s="555" t="s">
        <v>451</v>
      </c>
      <c r="H307" s="630"/>
      <c r="I307" s="630"/>
      <c r="J307" s="631"/>
      <c r="K307" s="1871" t="s">
        <v>79</v>
      </c>
      <c r="L307" s="1872"/>
      <c r="M307" s="1872"/>
      <c r="N307" s="1876" t="s">
        <v>137</v>
      </c>
      <c r="O307" s="1876"/>
      <c r="P307" s="1877"/>
      <c r="Q307" s="1931" t="s">
        <v>926</v>
      </c>
      <c r="R307" s="1876"/>
      <c r="S307" s="1876"/>
      <c r="T307" s="1876"/>
      <c r="U307" s="1876"/>
      <c r="V307" s="1877"/>
      <c r="W307" s="1931" t="s">
        <v>927</v>
      </c>
      <c r="X307" s="1876"/>
      <c r="Y307" s="1876"/>
      <c r="Z307" s="1876"/>
      <c r="AA307" s="1876"/>
      <c r="AB307" s="1877"/>
    </row>
    <row r="308" spans="1:28" ht="12.95" customHeight="1" x14ac:dyDescent="0.2">
      <c r="A308" s="8" t="s">
        <v>220</v>
      </c>
      <c r="B308" s="1838"/>
      <c r="C308" s="1836"/>
      <c r="D308" s="733" t="s">
        <v>10</v>
      </c>
      <c r="E308" s="1945" t="s">
        <v>112</v>
      </c>
      <c r="F308" s="1946"/>
      <c r="G308" s="1946"/>
      <c r="H308" s="1946"/>
      <c r="I308" s="1946"/>
      <c r="J308" s="2321"/>
      <c r="K308" s="1973" t="s">
        <v>112</v>
      </c>
      <c r="L308" s="1963"/>
      <c r="M308" s="1963"/>
      <c r="N308" s="1950" t="s">
        <v>1220</v>
      </c>
      <c r="O308" s="1950"/>
      <c r="P308" s="1951"/>
      <c r="Q308" s="1975" t="s">
        <v>1254</v>
      </c>
      <c r="R308" s="1976"/>
      <c r="S308" s="1976"/>
      <c r="T308" s="1976"/>
      <c r="U308" s="1976"/>
      <c r="V308" s="1977"/>
      <c r="W308" s="1966" t="s">
        <v>1503</v>
      </c>
      <c r="X308" s="1967"/>
      <c r="Y308" s="1967"/>
      <c r="Z308" s="1967"/>
      <c r="AA308" s="1967"/>
      <c r="AB308" s="1968"/>
    </row>
    <row r="309" spans="1:28" ht="12.95" customHeight="1" x14ac:dyDescent="0.2">
      <c r="A309" s="8" t="s">
        <v>220</v>
      </c>
      <c r="B309" s="1838"/>
      <c r="C309" s="1836"/>
      <c r="D309" s="731"/>
      <c r="E309" s="1945" t="s">
        <v>113</v>
      </c>
      <c r="F309" s="1946"/>
      <c r="G309" s="1946"/>
      <c r="H309" s="1946"/>
      <c r="I309" s="1946"/>
      <c r="J309" s="2321"/>
      <c r="K309" s="1871" t="s">
        <v>113</v>
      </c>
      <c r="L309" s="1872"/>
      <c r="M309" s="1872"/>
      <c r="N309" s="1952"/>
      <c r="O309" s="1952"/>
      <c r="P309" s="1953"/>
      <c r="Q309" s="2350" t="s">
        <v>1255</v>
      </c>
      <c r="R309" s="2130"/>
      <c r="S309" s="2130"/>
      <c r="T309" s="2130"/>
      <c r="U309" s="2130"/>
      <c r="V309" s="2131"/>
      <c r="W309" s="1939" t="s">
        <v>1504</v>
      </c>
      <c r="X309" s="1940"/>
      <c r="Y309" s="1940"/>
      <c r="Z309" s="1940"/>
      <c r="AA309" s="1940"/>
      <c r="AB309" s="1941"/>
    </row>
    <row r="310" spans="1:28" ht="12.95" customHeight="1" thickBot="1" x14ac:dyDescent="0.25">
      <c r="A310" s="8" t="s">
        <v>220</v>
      </c>
      <c r="B310" s="1838"/>
      <c r="C310" s="1836"/>
      <c r="D310" s="731"/>
      <c r="E310" s="1871" t="s">
        <v>114</v>
      </c>
      <c r="F310" s="1872"/>
      <c r="G310" s="1872" t="s">
        <v>139</v>
      </c>
      <c r="H310" s="1872"/>
      <c r="I310" s="1872"/>
      <c r="J310" s="1949"/>
      <c r="K310" s="1871" t="s">
        <v>114</v>
      </c>
      <c r="L310" s="1872"/>
      <c r="M310" s="1872"/>
      <c r="N310" s="1876">
        <v>7329</v>
      </c>
      <c r="O310" s="1876"/>
      <c r="P310" s="1877"/>
      <c r="Q310" s="2378" t="s">
        <v>1256</v>
      </c>
      <c r="R310" s="2379"/>
      <c r="S310" s="2379"/>
      <c r="T310" s="2379"/>
      <c r="U310" s="2379"/>
      <c r="V310" s="2380"/>
      <c r="W310" s="1960" t="s">
        <v>1505</v>
      </c>
      <c r="X310" s="1961"/>
      <c r="Y310" s="1961"/>
      <c r="Z310" s="1961"/>
      <c r="AA310" s="1961"/>
      <c r="AB310" s="1962"/>
    </row>
    <row r="311" spans="1:28" ht="12.75" customHeight="1" thickBot="1" x14ac:dyDescent="0.25">
      <c r="A311" s="8" t="s">
        <v>221</v>
      </c>
      <c r="B311" s="1838"/>
      <c r="C311" s="1836"/>
      <c r="D311" s="733" t="s">
        <v>12</v>
      </c>
      <c r="E311" s="519" t="s">
        <v>18</v>
      </c>
      <c r="F311" s="520" t="s">
        <v>17</v>
      </c>
      <c r="G311" s="520" t="s">
        <v>16</v>
      </c>
      <c r="H311" s="520" t="s">
        <v>15</v>
      </c>
      <c r="I311" s="520" t="s">
        <v>14</v>
      </c>
      <c r="J311" s="520" t="s">
        <v>13</v>
      </c>
      <c r="K311" s="521" t="s">
        <v>18</v>
      </c>
      <c r="L311" s="522" t="s">
        <v>17</v>
      </c>
      <c r="M311" s="523" t="s">
        <v>16</v>
      </c>
      <c r="N311" s="522" t="s">
        <v>15</v>
      </c>
      <c r="O311" s="522" t="s">
        <v>14</v>
      </c>
      <c r="P311" s="524" t="s">
        <v>13</v>
      </c>
      <c r="Q311" s="411" t="s">
        <v>18</v>
      </c>
      <c r="R311" s="413" t="s">
        <v>17</v>
      </c>
      <c r="S311" s="413" t="s">
        <v>16</v>
      </c>
      <c r="T311" s="413" t="s">
        <v>15</v>
      </c>
      <c r="U311" s="413" t="s">
        <v>14</v>
      </c>
      <c r="V311" s="414" t="s">
        <v>13</v>
      </c>
      <c r="W311" s="632" t="s">
        <v>18</v>
      </c>
      <c r="X311" s="413" t="s">
        <v>17</v>
      </c>
      <c r="Y311" s="413" t="s">
        <v>16</v>
      </c>
      <c r="Z311" s="413" t="s">
        <v>15</v>
      </c>
      <c r="AA311" s="413" t="s">
        <v>14</v>
      </c>
      <c r="AB311" s="414" t="s">
        <v>13</v>
      </c>
    </row>
    <row r="312" spans="1:28" ht="23.25" customHeight="1" x14ac:dyDescent="0.2">
      <c r="A312" s="8" t="s">
        <v>221</v>
      </c>
      <c r="B312" s="1838"/>
      <c r="C312" s="1836"/>
      <c r="D312" s="490" t="s">
        <v>188</v>
      </c>
      <c r="E312" s="1946" t="s">
        <v>449</v>
      </c>
      <c r="F312" s="1946"/>
      <c r="G312" s="1946"/>
      <c r="H312" s="1946"/>
      <c r="I312" s="1946"/>
      <c r="J312" s="690"/>
      <c r="K312" s="525"/>
      <c r="L312" s="427"/>
      <c r="M312" s="427"/>
      <c r="N312" s="427"/>
      <c r="O312" s="427"/>
      <c r="P312" s="526"/>
      <c r="Q312" s="527" t="s">
        <v>486</v>
      </c>
      <c r="R312" s="598" t="s">
        <v>928</v>
      </c>
      <c r="S312" s="598" t="s">
        <v>929</v>
      </c>
      <c r="T312" s="598" t="s">
        <v>930</v>
      </c>
      <c r="U312" s="598" t="s">
        <v>931</v>
      </c>
      <c r="V312" s="633" t="s">
        <v>932</v>
      </c>
      <c r="W312" s="527" t="s">
        <v>460</v>
      </c>
      <c r="X312" s="598" t="s">
        <v>933</v>
      </c>
      <c r="Y312" s="1484" t="s">
        <v>929</v>
      </c>
      <c r="Z312" s="1484" t="s">
        <v>934</v>
      </c>
      <c r="AA312" s="1484" t="s">
        <v>935</v>
      </c>
      <c r="AB312" s="634" t="s">
        <v>936</v>
      </c>
    </row>
    <row r="313" spans="1:28" ht="24.75" customHeight="1" thickBot="1" x14ac:dyDescent="0.25">
      <c r="A313" s="8" t="s">
        <v>221</v>
      </c>
      <c r="B313" s="1838"/>
      <c r="C313" s="1836"/>
      <c r="D313" s="490" t="s">
        <v>189</v>
      </c>
      <c r="E313" s="690"/>
      <c r="F313" s="690"/>
      <c r="G313" s="690"/>
      <c r="H313" s="690"/>
      <c r="I313" s="690"/>
      <c r="J313" s="690"/>
      <c r="K313" s="525"/>
      <c r="L313" s="427"/>
      <c r="M313" s="427"/>
      <c r="N313" s="427"/>
      <c r="O313" s="427"/>
      <c r="P313" s="526"/>
      <c r="Q313" s="635" t="s">
        <v>937</v>
      </c>
      <c r="R313" s="599" t="s">
        <v>933</v>
      </c>
      <c r="S313" s="599" t="s">
        <v>929</v>
      </c>
      <c r="T313" s="599" t="s">
        <v>938</v>
      </c>
      <c r="U313" s="599" t="s">
        <v>935</v>
      </c>
      <c r="V313" s="636" t="s">
        <v>932</v>
      </c>
      <c r="W313" s="635" t="s">
        <v>939</v>
      </c>
      <c r="X313" s="599" t="s">
        <v>940</v>
      </c>
      <c r="Y313" s="389" t="s">
        <v>1440</v>
      </c>
      <c r="Z313" s="1485" t="s">
        <v>941</v>
      </c>
      <c r="AA313" s="389" t="s">
        <v>1442</v>
      </c>
      <c r="AB313" s="637" t="s">
        <v>942</v>
      </c>
    </row>
    <row r="314" spans="1:28" ht="24.75" customHeight="1" thickBot="1" x14ac:dyDescent="0.25">
      <c r="A314" s="8" t="s">
        <v>221</v>
      </c>
      <c r="B314" s="1838"/>
      <c r="C314" s="1836"/>
      <c r="D314" s="960" t="s">
        <v>68</v>
      </c>
      <c r="E314" s="690"/>
      <c r="F314" s="690"/>
      <c r="G314" s="690"/>
      <c r="H314" s="690"/>
      <c r="I314" s="690"/>
      <c r="J314" s="690"/>
      <c r="K314" s="534" t="s">
        <v>343</v>
      </c>
      <c r="L314" s="509" t="s">
        <v>344</v>
      </c>
      <c r="M314" s="509" t="s">
        <v>349</v>
      </c>
      <c r="N314" s="509" t="s">
        <v>350</v>
      </c>
      <c r="O314" s="509" t="s">
        <v>351</v>
      </c>
      <c r="P314" s="510" t="s">
        <v>352</v>
      </c>
      <c r="Q314" s="600" t="s">
        <v>943</v>
      </c>
      <c r="R314" s="601" t="s">
        <v>944</v>
      </c>
      <c r="S314" s="601" t="s">
        <v>945</v>
      </c>
      <c r="T314" s="601" t="s">
        <v>946</v>
      </c>
      <c r="U314" s="601" t="s">
        <v>947</v>
      </c>
      <c r="V314" s="638" t="s">
        <v>202</v>
      </c>
      <c r="W314" s="639" t="s">
        <v>502</v>
      </c>
      <c r="X314" s="601" t="s">
        <v>948</v>
      </c>
      <c r="Y314" s="1483" t="s">
        <v>1441</v>
      </c>
      <c r="Z314" s="601" t="s">
        <v>949</v>
      </c>
      <c r="AA314" s="1483">
        <v>1527</v>
      </c>
      <c r="AB314" s="638" t="s">
        <v>202</v>
      </c>
    </row>
    <row r="315" spans="1:28" x14ac:dyDescent="0.2">
      <c r="A315" s="8" t="s">
        <v>221</v>
      </c>
      <c r="B315" s="1838"/>
      <c r="C315" s="1836"/>
      <c r="D315" s="752" t="s">
        <v>10</v>
      </c>
      <c r="E315" s="2116" t="s">
        <v>856</v>
      </c>
      <c r="F315" s="2117"/>
      <c r="G315" s="2117"/>
      <c r="H315" s="2117"/>
      <c r="I315" s="2117"/>
      <c r="J315" s="691"/>
      <c r="K315" s="530"/>
      <c r="L315" s="531"/>
      <c r="M315" s="535"/>
      <c r="N315" s="531"/>
      <c r="O315" s="531"/>
      <c r="P315" s="1271"/>
      <c r="Q315" s="1264"/>
      <c r="R315" s="1263"/>
      <c r="S315" s="1263"/>
      <c r="T315" s="1263"/>
      <c r="U315" s="1263"/>
      <c r="V315" s="1261"/>
      <c r="W315" s="533"/>
      <c r="X315" s="531"/>
      <c r="Y315" s="531"/>
      <c r="Z315" s="531"/>
      <c r="AA315" s="531"/>
      <c r="AB315" s="532"/>
    </row>
    <row r="316" spans="1:28" ht="12.95" customHeight="1" x14ac:dyDescent="0.2">
      <c r="A316" s="8" t="s">
        <v>221</v>
      </c>
      <c r="B316" s="1838"/>
      <c r="C316" s="1836"/>
      <c r="D316" s="416" t="s">
        <v>188</v>
      </c>
      <c r="E316" s="697"/>
      <c r="F316" s="690"/>
      <c r="G316" s="690"/>
      <c r="H316" s="690"/>
      <c r="I316" s="690"/>
      <c r="J316" s="690"/>
      <c r="K316" s="506"/>
      <c r="L316" s="501"/>
      <c r="M316" s="502"/>
      <c r="N316" s="502"/>
      <c r="O316" s="502"/>
      <c r="P316" s="529"/>
      <c r="Q316" s="1357" t="s">
        <v>1304</v>
      </c>
      <c r="R316" s="1360" t="s">
        <v>1305</v>
      </c>
      <c r="S316" s="1360" t="s">
        <v>1308</v>
      </c>
      <c r="T316" s="1360" t="s">
        <v>1311</v>
      </c>
      <c r="U316" s="1360" t="s">
        <v>1314</v>
      </c>
      <c r="V316" s="1362" t="s">
        <v>1317</v>
      </c>
      <c r="W316" s="1781" t="s">
        <v>1506</v>
      </c>
      <c r="X316" s="1782" t="s">
        <v>1507</v>
      </c>
      <c r="Y316" s="1782" t="s">
        <v>1508</v>
      </c>
      <c r="Z316" s="1782" t="s">
        <v>1509</v>
      </c>
      <c r="AA316" s="1782" t="s">
        <v>1510</v>
      </c>
      <c r="AB316" s="1783" t="s">
        <v>1511</v>
      </c>
    </row>
    <row r="317" spans="1:28" ht="12.95" customHeight="1" x14ac:dyDescent="0.2">
      <c r="A317" s="8" t="s">
        <v>221</v>
      </c>
      <c r="B317" s="1838"/>
      <c r="C317" s="1836"/>
      <c r="D317" s="416" t="s">
        <v>189</v>
      </c>
      <c r="E317" s="697"/>
      <c r="F317" s="690"/>
      <c r="G317" s="690"/>
      <c r="H317" s="690"/>
      <c r="I317" s="690"/>
      <c r="J317" s="690"/>
      <c r="K317" s="506"/>
      <c r="L317" s="501"/>
      <c r="M317" s="502"/>
      <c r="N317" s="502"/>
      <c r="O317" s="502"/>
      <c r="P317" s="529"/>
      <c r="Q317" s="1358" t="s">
        <v>1303</v>
      </c>
      <c r="R317" s="1360" t="s">
        <v>1306</v>
      </c>
      <c r="S317" s="1486" t="s">
        <v>1309</v>
      </c>
      <c r="T317" s="1486" t="s">
        <v>1312</v>
      </c>
      <c r="U317" s="1486" t="s">
        <v>1315</v>
      </c>
      <c r="V317" s="1362" t="s">
        <v>1318</v>
      </c>
      <c r="W317" s="1781" t="s">
        <v>1512</v>
      </c>
      <c r="X317" s="1782" t="s">
        <v>1513</v>
      </c>
      <c r="Y317" s="1782" t="s">
        <v>1514</v>
      </c>
      <c r="Z317" s="1782" t="s">
        <v>1515</v>
      </c>
      <c r="AA317" s="1782" t="s">
        <v>1516</v>
      </c>
      <c r="AB317" s="1783" t="s">
        <v>1517</v>
      </c>
    </row>
    <row r="318" spans="1:28" ht="29.25" customHeight="1" thickBot="1" x14ac:dyDescent="0.25">
      <c r="A318" s="8" t="s">
        <v>221</v>
      </c>
      <c r="B318" s="1838"/>
      <c r="C318" s="1836"/>
      <c r="D318" s="854" t="s">
        <v>68</v>
      </c>
      <c r="E318" s="640"/>
      <c r="F318" s="641"/>
      <c r="G318" s="641"/>
      <c r="H318" s="641"/>
      <c r="I318" s="641"/>
      <c r="J318" s="641"/>
      <c r="K318" s="517" t="s">
        <v>489</v>
      </c>
      <c r="L318" s="518" t="s">
        <v>490</v>
      </c>
      <c r="M318" s="428" t="s">
        <v>491</v>
      </c>
      <c r="N318" s="428" t="s">
        <v>493</v>
      </c>
      <c r="O318" s="428" t="s">
        <v>492</v>
      </c>
      <c r="P318" s="528" t="s">
        <v>494</v>
      </c>
      <c r="Q318" s="1359" t="s">
        <v>1302</v>
      </c>
      <c r="R318" s="1361" t="s">
        <v>1307</v>
      </c>
      <c r="S318" s="1361" t="s">
        <v>1310</v>
      </c>
      <c r="T318" s="1361" t="s">
        <v>1313</v>
      </c>
      <c r="U318" s="1361" t="s">
        <v>1316</v>
      </c>
      <c r="V318" s="1363" t="s">
        <v>1319</v>
      </c>
      <c r="W318" s="1784" t="s">
        <v>1518</v>
      </c>
      <c r="X318" s="1785" t="s">
        <v>1519</v>
      </c>
      <c r="Y318" s="1785" t="s">
        <v>1520</v>
      </c>
      <c r="Z318" s="1785" t="s">
        <v>1521</v>
      </c>
      <c r="AA318" s="1785" t="s">
        <v>1522</v>
      </c>
      <c r="AB318" s="1786" t="s">
        <v>1523</v>
      </c>
    </row>
    <row r="319" spans="1:28" ht="12.95" customHeight="1" thickBot="1" x14ac:dyDescent="0.25">
      <c r="A319" s="8" t="s">
        <v>220</v>
      </c>
      <c r="B319" s="379"/>
      <c r="C319" s="909"/>
      <c r="D319" s="1894" t="s">
        <v>226</v>
      </c>
      <c r="E319" s="1895"/>
      <c r="F319" s="1895"/>
      <c r="G319" s="1895"/>
      <c r="H319" s="1895"/>
      <c r="I319" s="1895"/>
      <c r="J319" s="1895"/>
      <c r="K319" s="1895"/>
      <c r="L319" s="1895"/>
      <c r="M319" s="1895"/>
      <c r="N319" s="1895"/>
      <c r="O319" s="1895"/>
      <c r="P319" s="1895"/>
      <c r="Q319" s="2125"/>
      <c r="R319" s="2125"/>
      <c r="S319" s="2125"/>
      <c r="T319" s="2125"/>
      <c r="U319" s="2125"/>
      <c r="V319" s="2125"/>
      <c r="W319" s="1895"/>
      <c r="X319" s="1895"/>
      <c r="Y319" s="1895"/>
      <c r="Z319" s="1895"/>
      <c r="AA319" s="1895"/>
      <c r="AB319" s="1896"/>
    </row>
    <row r="320" spans="1:28" ht="12.95" customHeight="1" thickBot="1" x14ac:dyDescent="0.25">
      <c r="A320" s="8" t="s">
        <v>220</v>
      </c>
      <c r="B320" s="379"/>
      <c r="C320" s="475" t="s">
        <v>23</v>
      </c>
      <c r="D320" s="961"/>
      <c r="E320" s="1982" t="s">
        <v>447</v>
      </c>
      <c r="F320" s="1983"/>
      <c r="G320" s="1983"/>
      <c r="H320" s="1983"/>
      <c r="I320" s="1983"/>
      <c r="J320" s="1984"/>
      <c r="K320" s="1982" t="s">
        <v>327</v>
      </c>
      <c r="L320" s="2004"/>
      <c r="M320" s="2004"/>
      <c r="N320" s="2004"/>
      <c r="O320" s="2004"/>
      <c r="P320" s="2005"/>
      <c r="Q320" s="2058" t="s">
        <v>163</v>
      </c>
      <c r="R320" s="2059"/>
      <c r="S320" s="2059"/>
      <c r="T320" s="2059"/>
      <c r="U320" s="2059"/>
      <c r="V320" s="2060"/>
      <c r="W320" s="1881" t="s">
        <v>162</v>
      </c>
      <c r="X320" s="1882"/>
      <c r="Y320" s="1882"/>
      <c r="Z320" s="1882"/>
      <c r="AA320" s="1882"/>
      <c r="AB320" s="1947"/>
    </row>
    <row r="321" spans="1:28" ht="13.5" customHeight="1" x14ac:dyDescent="0.2">
      <c r="A321" s="8" t="s">
        <v>220</v>
      </c>
      <c r="B321" s="379"/>
      <c r="C321" s="2126" t="s">
        <v>140</v>
      </c>
      <c r="D321" s="489" t="s">
        <v>12</v>
      </c>
      <c r="E321" s="2104" t="s">
        <v>75</v>
      </c>
      <c r="F321" s="2105"/>
      <c r="G321" s="514"/>
      <c r="H321" s="536"/>
      <c r="I321" s="536"/>
      <c r="J321" s="536"/>
      <c r="K321" s="2006" t="s">
        <v>75</v>
      </c>
      <c r="L321" s="2007"/>
      <c r="M321" s="2007"/>
      <c r="N321" s="2007"/>
      <c r="O321" s="2007"/>
      <c r="P321" s="2008"/>
      <c r="Q321" s="2006"/>
      <c r="R321" s="2007"/>
      <c r="S321" s="2007"/>
      <c r="T321" s="2007"/>
      <c r="U321" s="2007"/>
      <c r="V321" s="2008"/>
      <c r="W321" s="2006"/>
      <c r="X321" s="2007"/>
      <c r="Y321" s="2007"/>
      <c r="Z321" s="2007"/>
      <c r="AA321" s="2007"/>
      <c r="AB321" s="2008"/>
    </row>
    <row r="322" spans="1:28" ht="13.5" customHeight="1" x14ac:dyDescent="0.2">
      <c r="A322" s="8" t="s">
        <v>220</v>
      </c>
      <c r="B322" s="379"/>
      <c r="C322" s="2127"/>
      <c r="D322" s="489"/>
      <c r="E322" s="1945" t="s">
        <v>77</v>
      </c>
      <c r="F322" s="1946"/>
      <c r="G322" s="1946"/>
      <c r="H322" s="1946"/>
      <c r="I322" s="1946"/>
      <c r="J322" s="1946"/>
      <c r="K322" s="1871" t="s">
        <v>77</v>
      </c>
      <c r="L322" s="1872"/>
      <c r="M322" s="1872"/>
      <c r="N322" s="1872">
        <v>13512</v>
      </c>
      <c r="O322" s="1872"/>
      <c r="P322" s="1949"/>
      <c r="Q322" s="1931" t="s">
        <v>894</v>
      </c>
      <c r="R322" s="1876"/>
      <c r="S322" s="1876"/>
      <c r="T322" s="1876"/>
      <c r="U322" s="1876"/>
      <c r="V322" s="1877"/>
      <c r="W322" s="1939" t="s">
        <v>1449</v>
      </c>
      <c r="X322" s="1940"/>
      <c r="Y322" s="1940"/>
      <c r="Z322" s="1940"/>
      <c r="AA322" s="1940"/>
      <c r="AB322" s="1941"/>
    </row>
    <row r="323" spans="1:28" ht="13.5" customHeight="1" x14ac:dyDescent="0.2">
      <c r="A323" s="8" t="s">
        <v>220</v>
      </c>
      <c r="B323" s="379"/>
      <c r="C323" s="2127"/>
      <c r="D323" s="489"/>
      <c r="E323" s="1945" t="s">
        <v>78</v>
      </c>
      <c r="F323" s="1946"/>
      <c r="G323" s="1946"/>
      <c r="H323" s="1946"/>
      <c r="I323" s="1946"/>
      <c r="J323" s="1946"/>
      <c r="K323" s="1871" t="s">
        <v>78</v>
      </c>
      <c r="L323" s="1872"/>
      <c r="M323" s="1872"/>
      <c r="N323" s="1872">
        <v>6480</v>
      </c>
      <c r="O323" s="1872"/>
      <c r="P323" s="1949"/>
      <c r="Q323" s="1931" t="s">
        <v>895</v>
      </c>
      <c r="R323" s="1876"/>
      <c r="S323" s="1876"/>
      <c r="T323" s="1876"/>
      <c r="U323" s="1876"/>
      <c r="V323" s="1877"/>
      <c r="W323" s="1939" t="s">
        <v>1450</v>
      </c>
      <c r="X323" s="1940"/>
      <c r="Y323" s="1940"/>
      <c r="Z323" s="1940"/>
      <c r="AA323" s="1940"/>
      <c r="AB323" s="1941"/>
    </row>
    <row r="324" spans="1:28" ht="13.5" customHeight="1" thickBot="1" x14ac:dyDescent="0.25">
      <c r="A324" s="8" t="s">
        <v>220</v>
      </c>
      <c r="B324" s="379"/>
      <c r="C324" s="2127"/>
      <c r="D324" s="489"/>
      <c r="E324" s="2118" t="s">
        <v>72</v>
      </c>
      <c r="F324" s="2119"/>
      <c r="G324" s="742"/>
      <c r="H324" s="2119" t="s">
        <v>452</v>
      </c>
      <c r="I324" s="2119"/>
      <c r="J324" s="2119"/>
      <c r="K324" s="1871" t="s">
        <v>76</v>
      </c>
      <c r="L324" s="1872"/>
      <c r="M324" s="1872"/>
      <c r="N324" s="1948" t="s">
        <v>510</v>
      </c>
      <c r="O324" s="1872"/>
      <c r="P324" s="1949"/>
      <c r="Q324" s="2132" t="s">
        <v>896</v>
      </c>
      <c r="R324" s="1969"/>
      <c r="S324" s="1969"/>
      <c r="T324" s="1969"/>
      <c r="U324" s="1969"/>
      <c r="V324" s="2133"/>
      <c r="W324" s="1939" t="s">
        <v>897</v>
      </c>
      <c r="X324" s="1940"/>
      <c r="Y324" s="1940"/>
      <c r="Z324" s="1940"/>
      <c r="AA324" s="1940"/>
      <c r="AB324" s="1941"/>
    </row>
    <row r="325" spans="1:28" ht="13.5" customHeight="1" x14ac:dyDescent="0.2">
      <c r="A325" s="8" t="s">
        <v>220</v>
      </c>
      <c r="B325" s="379"/>
      <c r="C325" s="2127"/>
      <c r="D325" s="733" t="s">
        <v>10</v>
      </c>
      <c r="E325" s="2134" t="s">
        <v>82</v>
      </c>
      <c r="F325" s="2135"/>
      <c r="G325" s="2135"/>
      <c r="H325" s="2135"/>
      <c r="I325" s="2135"/>
      <c r="J325" s="2135"/>
      <c r="K325" s="2006" t="s">
        <v>82</v>
      </c>
      <c r="L325" s="2007"/>
      <c r="M325" s="2007"/>
      <c r="N325" s="2007"/>
      <c r="O325" s="2007"/>
      <c r="P325" s="2008"/>
      <c r="Q325" s="2007"/>
      <c r="R325" s="2007"/>
      <c r="S325" s="2007"/>
      <c r="T325" s="2007"/>
      <c r="U325" s="2007"/>
      <c r="V325" s="2008"/>
      <c r="W325" s="2006"/>
      <c r="X325" s="2007"/>
      <c r="Y325" s="2007"/>
      <c r="Z325" s="2007"/>
      <c r="AA325" s="2007"/>
      <c r="AB325" s="2008"/>
    </row>
    <row r="326" spans="1:28" ht="13.5" customHeight="1" x14ac:dyDescent="0.2">
      <c r="A326" s="8" t="s">
        <v>220</v>
      </c>
      <c r="B326" s="379"/>
      <c r="C326" s="2127"/>
      <c r="D326" s="408"/>
      <c r="E326" s="1871" t="s">
        <v>112</v>
      </c>
      <c r="F326" s="1872"/>
      <c r="G326" s="1872"/>
      <c r="H326" s="1872"/>
      <c r="I326" s="1872"/>
      <c r="J326" s="1872"/>
      <c r="K326" s="1871" t="s">
        <v>112</v>
      </c>
      <c r="L326" s="1872"/>
      <c r="M326" s="1872"/>
      <c r="N326" s="1950" t="s">
        <v>1220</v>
      </c>
      <c r="O326" s="1950"/>
      <c r="P326" s="1951"/>
      <c r="Q326" s="2130" t="s">
        <v>1257</v>
      </c>
      <c r="R326" s="2130"/>
      <c r="S326" s="2130"/>
      <c r="T326" s="2130"/>
      <c r="U326" s="2130"/>
      <c r="V326" s="2131"/>
      <c r="W326" s="1939" t="s">
        <v>1524</v>
      </c>
      <c r="X326" s="1940"/>
      <c r="Y326" s="1940"/>
      <c r="Z326" s="1940"/>
      <c r="AA326" s="1940"/>
      <c r="AB326" s="1941"/>
    </row>
    <row r="327" spans="1:28" ht="13.5" customHeight="1" x14ac:dyDescent="0.2">
      <c r="A327" s="8" t="s">
        <v>220</v>
      </c>
      <c r="B327" s="379"/>
      <c r="C327" s="2127"/>
      <c r="D327" s="408"/>
      <c r="E327" s="1871" t="s">
        <v>113</v>
      </c>
      <c r="F327" s="1872"/>
      <c r="G327" s="1872"/>
      <c r="H327" s="1872"/>
      <c r="I327" s="1872"/>
      <c r="J327" s="1872"/>
      <c r="K327" s="1871" t="s">
        <v>113</v>
      </c>
      <c r="L327" s="1872"/>
      <c r="M327" s="1872"/>
      <c r="N327" s="1952"/>
      <c r="O327" s="1952"/>
      <c r="P327" s="1953"/>
      <c r="Q327" s="2130" t="s">
        <v>1258</v>
      </c>
      <c r="R327" s="2130"/>
      <c r="S327" s="2130"/>
      <c r="T327" s="2130"/>
      <c r="U327" s="2130"/>
      <c r="V327" s="2131"/>
      <c r="W327" s="1939" t="s">
        <v>1525</v>
      </c>
      <c r="X327" s="1940"/>
      <c r="Y327" s="1940"/>
      <c r="Z327" s="1940"/>
      <c r="AA327" s="1940"/>
      <c r="AB327" s="1941"/>
    </row>
    <row r="328" spans="1:28" ht="13.5" customHeight="1" thickBot="1" x14ac:dyDescent="0.25">
      <c r="A328" s="8" t="s">
        <v>220</v>
      </c>
      <c r="B328" s="379"/>
      <c r="C328" s="2127"/>
      <c r="D328" s="408"/>
      <c r="E328" s="1871" t="s">
        <v>114</v>
      </c>
      <c r="F328" s="1872"/>
      <c r="G328" s="1872"/>
      <c r="H328" s="1872">
        <v>21743</v>
      </c>
      <c r="I328" s="1872"/>
      <c r="J328" s="1872"/>
      <c r="K328" s="1910" t="s">
        <v>114</v>
      </c>
      <c r="L328" s="1911"/>
      <c r="M328" s="1911"/>
      <c r="N328" s="1911" t="s">
        <v>405</v>
      </c>
      <c r="O328" s="1911"/>
      <c r="P328" s="1938"/>
      <c r="Q328" s="2130" t="s">
        <v>1259</v>
      </c>
      <c r="R328" s="2130"/>
      <c r="S328" s="2130"/>
      <c r="T328" s="2130"/>
      <c r="U328" s="2130"/>
      <c r="V328" s="2131"/>
      <c r="W328" s="1939" t="s">
        <v>1526</v>
      </c>
      <c r="X328" s="1940"/>
      <c r="Y328" s="1940"/>
      <c r="Z328" s="1940"/>
      <c r="AA328" s="1940"/>
      <c r="AB328" s="1941"/>
    </row>
    <row r="329" spans="1:28" ht="12.95" customHeight="1" thickBot="1" x14ac:dyDescent="0.25">
      <c r="A329" s="8" t="s">
        <v>221</v>
      </c>
      <c r="B329" s="379"/>
      <c r="C329" s="2127"/>
      <c r="D329" s="752"/>
      <c r="E329" s="753" t="s">
        <v>18</v>
      </c>
      <c r="F329" s="753" t="s">
        <v>17</v>
      </c>
      <c r="G329" s="753" t="s">
        <v>16</v>
      </c>
      <c r="H329" s="753" t="s">
        <v>15</v>
      </c>
      <c r="I329" s="753" t="s">
        <v>14</v>
      </c>
      <c r="J329" s="753" t="s">
        <v>13</v>
      </c>
      <c r="K329" s="537" t="s">
        <v>18</v>
      </c>
      <c r="L329" s="537" t="s">
        <v>17</v>
      </c>
      <c r="M329" s="538" t="s">
        <v>16</v>
      </c>
      <c r="N329" s="537" t="s">
        <v>15</v>
      </c>
      <c r="O329" s="537" t="s">
        <v>14</v>
      </c>
      <c r="P329" s="537" t="s">
        <v>13</v>
      </c>
      <c r="Q329" s="411" t="s">
        <v>18</v>
      </c>
      <c r="R329" s="413" t="s">
        <v>17</v>
      </c>
      <c r="S329" s="413" t="s">
        <v>16</v>
      </c>
      <c r="T329" s="413" t="s">
        <v>15</v>
      </c>
      <c r="U329" s="413" t="s">
        <v>14</v>
      </c>
      <c r="V329" s="414" t="s">
        <v>13</v>
      </c>
      <c r="W329" s="632" t="s">
        <v>18</v>
      </c>
      <c r="X329" s="413" t="s">
        <v>17</v>
      </c>
      <c r="Y329" s="413" t="s">
        <v>16</v>
      </c>
      <c r="Z329" s="413" t="s">
        <v>15</v>
      </c>
      <c r="AA329" s="413" t="s">
        <v>14</v>
      </c>
      <c r="AB329" s="414" t="s">
        <v>13</v>
      </c>
    </row>
    <row r="330" spans="1:28" ht="12.95" customHeight="1" x14ac:dyDescent="0.2">
      <c r="A330" s="8" t="s">
        <v>221</v>
      </c>
      <c r="B330" s="379"/>
      <c r="C330" s="2128"/>
      <c r="D330" s="717" t="s">
        <v>12</v>
      </c>
      <c r="E330" s="2116" t="s">
        <v>449</v>
      </c>
      <c r="F330" s="2117"/>
      <c r="G330" s="2117"/>
      <c r="H330" s="2117"/>
      <c r="I330" s="2117"/>
      <c r="J330" s="2117"/>
      <c r="K330" s="461"/>
      <c r="L330" s="462"/>
      <c r="M330" s="463"/>
      <c r="N330" s="463"/>
      <c r="O330" s="463"/>
      <c r="P330" s="415"/>
      <c r="Q330" s="497"/>
      <c r="R330" s="463"/>
      <c r="S330" s="463"/>
      <c r="T330" s="463"/>
      <c r="U330" s="463"/>
      <c r="V330" s="415"/>
      <c r="W330" s="497"/>
      <c r="X330" s="463"/>
      <c r="Y330" s="463"/>
      <c r="Z330" s="463"/>
      <c r="AA330" s="463"/>
      <c r="AB330" s="464"/>
    </row>
    <row r="331" spans="1:28" ht="29.25" customHeight="1" x14ac:dyDescent="0.2">
      <c r="A331" s="8" t="s">
        <v>221</v>
      </c>
      <c r="B331" s="379"/>
      <c r="C331" s="2128"/>
      <c r="D331" s="416" t="s">
        <v>188</v>
      </c>
      <c r="E331" s="697"/>
      <c r="F331" s="690"/>
      <c r="G331" s="690"/>
      <c r="H331" s="690"/>
      <c r="I331" s="690"/>
      <c r="J331" s="690"/>
      <c r="K331" s="506"/>
      <c r="L331" s="501"/>
      <c r="M331" s="502"/>
      <c r="N331" s="502"/>
      <c r="O331" s="502"/>
      <c r="P331" s="529"/>
      <c r="Q331" s="605" t="s">
        <v>898</v>
      </c>
      <c r="R331" s="606" t="s">
        <v>899</v>
      </c>
      <c r="S331" s="606" t="s">
        <v>900</v>
      </c>
      <c r="T331" s="606" t="s">
        <v>901</v>
      </c>
      <c r="U331" s="606" t="s">
        <v>902</v>
      </c>
      <c r="V331" s="607" t="s">
        <v>903</v>
      </c>
      <c r="W331" s="605" t="s">
        <v>904</v>
      </c>
      <c r="X331" s="1489" t="s">
        <v>1443</v>
      </c>
      <c r="Y331" s="1485" t="s">
        <v>905</v>
      </c>
      <c r="Z331" s="389" t="s">
        <v>1445</v>
      </c>
      <c r="AA331" s="389" t="s">
        <v>1447</v>
      </c>
      <c r="AB331" s="608" t="s">
        <v>906</v>
      </c>
    </row>
    <row r="332" spans="1:28" ht="27" customHeight="1" x14ac:dyDescent="0.2">
      <c r="A332" s="8" t="s">
        <v>221</v>
      </c>
      <c r="B332" s="379"/>
      <c r="C332" s="2128"/>
      <c r="D332" s="416" t="s">
        <v>189</v>
      </c>
      <c r="E332" s="697"/>
      <c r="F332" s="690"/>
      <c r="G332" s="690"/>
      <c r="H332" s="690"/>
      <c r="I332" s="690"/>
      <c r="J332" s="690"/>
      <c r="K332" s="506"/>
      <c r="L332" s="501"/>
      <c r="M332" s="502"/>
      <c r="N332" s="502"/>
      <c r="O332" s="502"/>
      <c r="P332" s="529"/>
      <c r="Q332" s="605" t="s">
        <v>907</v>
      </c>
      <c r="R332" s="397" t="s">
        <v>412</v>
      </c>
      <c r="S332" s="606" t="s">
        <v>908</v>
      </c>
      <c r="T332" s="606" t="s">
        <v>909</v>
      </c>
      <c r="U332" s="397" t="s">
        <v>413</v>
      </c>
      <c r="V332" s="607" t="s">
        <v>910</v>
      </c>
      <c r="W332" s="605" t="s">
        <v>911</v>
      </c>
      <c r="X332" s="389" t="s">
        <v>1444</v>
      </c>
      <c r="Y332" s="1485" t="s">
        <v>912</v>
      </c>
      <c r="Z332" s="389" t="s">
        <v>1446</v>
      </c>
      <c r="AA332" s="389" t="s">
        <v>1448</v>
      </c>
      <c r="AB332" s="608" t="s">
        <v>913</v>
      </c>
    </row>
    <row r="333" spans="1:28" ht="38.25" customHeight="1" thickBot="1" x14ac:dyDescent="0.25">
      <c r="A333" s="8" t="s">
        <v>221</v>
      </c>
      <c r="B333" s="379"/>
      <c r="C333" s="2128"/>
      <c r="D333" s="416" t="s">
        <v>68</v>
      </c>
      <c r="E333" s="1945"/>
      <c r="F333" s="1946"/>
      <c r="G333" s="1946"/>
      <c r="H333" s="1946"/>
      <c r="I333" s="1946"/>
      <c r="J333" s="1946"/>
      <c r="K333" s="435" t="s">
        <v>399</v>
      </c>
      <c r="L333" s="433" t="s">
        <v>400</v>
      </c>
      <c r="M333" s="433" t="s">
        <v>401</v>
      </c>
      <c r="N333" s="433" t="s">
        <v>402</v>
      </c>
      <c r="O333" s="433" t="s">
        <v>403</v>
      </c>
      <c r="P333" s="434" t="s">
        <v>404</v>
      </c>
      <c r="Q333" s="609" t="s">
        <v>914</v>
      </c>
      <c r="R333" s="610" t="s">
        <v>915</v>
      </c>
      <c r="S333" s="610" t="s">
        <v>916</v>
      </c>
      <c r="T333" s="610" t="s">
        <v>917</v>
      </c>
      <c r="U333" s="610" t="s">
        <v>918</v>
      </c>
      <c r="V333" s="611" t="s">
        <v>919</v>
      </c>
      <c r="W333" s="609" t="s">
        <v>920</v>
      </c>
      <c r="X333" s="612" t="s">
        <v>921</v>
      </c>
      <c r="Y333" s="610" t="s">
        <v>922</v>
      </c>
      <c r="Z333" s="610" t="s">
        <v>923</v>
      </c>
      <c r="AA333" s="610" t="s">
        <v>924</v>
      </c>
      <c r="AB333" s="613" t="s">
        <v>919</v>
      </c>
    </row>
    <row r="334" spans="1:28" x14ac:dyDescent="0.2">
      <c r="A334" s="8" t="s">
        <v>221</v>
      </c>
      <c r="B334" s="379"/>
      <c r="C334" s="2128"/>
      <c r="D334" s="733" t="s">
        <v>10</v>
      </c>
      <c r="E334" s="552" t="s">
        <v>863</v>
      </c>
      <c r="F334" s="691"/>
      <c r="G334" s="691"/>
      <c r="H334" s="691"/>
      <c r="I334" s="691"/>
      <c r="J334" s="691"/>
      <c r="K334" s="461"/>
      <c r="L334" s="462"/>
      <c r="M334" s="463"/>
      <c r="N334" s="463"/>
      <c r="O334" s="463"/>
      <c r="P334" s="415"/>
      <c r="Q334" s="497"/>
      <c r="R334" s="463"/>
      <c r="S334" s="463"/>
      <c r="T334" s="463"/>
      <c r="U334" s="463"/>
      <c r="V334" s="415"/>
      <c r="W334" s="497"/>
      <c r="X334" s="463"/>
      <c r="Y334" s="463"/>
      <c r="Z334" s="463"/>
      <c r="AA334" s="463"/>
      <c r="AB334" s="464"/>
    </row>
    <row r="335" spans="1:28" ht="12.95" customHeight="1" x14ac:dyDescent="0.2">
      <c r="A335" s="8" t="s">
        <v>221</v>
      </c>
      <c r="B335" s="379"/>
      <c r="C335" s="2128"/>
      <c r="D335" s="490" t="s">
        <v>188</v>
      </c>
      <c r="E335" s="690"/>
      <c r="F335" s="690"/>
      <c r="G335" s="690"/>
      <c r="H335" s="690"/>
      <c r="I335" s="690"/>
      <c r="J335" s="690"/>
      <c r="K335" s="506"/>
      <c r="L335" s="501"/>
      <c r="M335" s="502"/>
      <c r="N335" s="502"/>
      <c r="O335" s="502"/>
      <c r="P335" s="529"/>
      <c r="Q335" s="1258" t="s">
        <v>1260</v>
      </c>
      <c r="R335" s="1257" t="s">
        <v>1261</v>
      </c>
      <c r="S335" s="1257" t="s">
        <v>1262</v>
      </c>
      <c r="T335" s="1257" t="s">
        <v>1263</v>
      </c>
      <c r="U335" s="1257" t="s">
        <v>1264</v>
      </c>
      <c r="V335" s="1256" t="s">
        <v>1265</v>
      </c>
      <c r="W335" s="1787" t="s">
        <v>1527</v>
      </c>
      <c r="X335" s="1782" t="s">
        <v>1528</v>
      </c>
      <c r="Y335" s="1782" t="s">
        <v>1529</v>
      </c>
      <c r="Z335" s="1782" t="s">
        <v>1530</v>
      </c>
      <c r="AA335" s="1782" t="s">
        <v>1531</v>
      </c>
      <c r="AB335" s="1783" t="s">
        <v>1532</v>
      </c>
    </row>
    <row r="336" spans="1:28" ht="12.95" customHeight="1" x14ac:dyDescent="0.2">
      <c r="A336" s="8" t="s">
        <v>221</v>
      </c>
      <c r="B336" s="379"/>
      <c r="C336" s="2128"/>
      <c r="D336" s="490" t="s">
        <v>189</v>
      </c>
      <c r="E336" s="690"/>
      <c r="F336" s="690"/>
      <c r="G336" s="690"/>
      <c r="H336" s="690"/>
      <c r="I336" s="690"/>
      <c r="J336" s="690"/>
      <c r="K336" s="506"/>
      <c r="L336" s="501"/>
      <c r="M336" s="502"/>
      <c r="N336" s="502"/>
      <c r="O336" s="502"/>
      <c r="P336" s="529"/>
      <c r="Q336" s="1258" t="s">
        <v>1266</v>
      </c>
      <c r="R336" s="1490" t="s">
        <v>1267</v>
      </c>
      <c r="S336" s="1490" t="s">
        <v>1268</v>
      </c>
      <c r="T336" s="1490" t="s">
        <v>1269</v>
      </c>
      <c r="U336" s="1490" t="s">
        <v>1270</v>
      </c>
      <c r="V336" s="1491" t="s">
        <v>1271</v>
      </c>
      <c r="W336" s="1787" t="s">
        <v>1533</v>
      </c>
      <c r="X336" s="1782" t="s">
        <v>1534</v>
      </c>
      <c r="Y336" s="1782" t="s">
        <v>1535</v>
      </c>
      <c r="Z336" s="1782" t="s">
        <v>1536</v>
      </c>
      <c r="AA336" s="1782" t="s">
        <v>1537</v>
      </c>
      <c r="AB336" s="1783" t="s">
        <v>1538</v>
      </c>
    </row>
    <row r="337" spans="1:28" ht="27" customHeight="1" thickBot="1" x14ac:dyDescent="0.25">
      <c r="A337" s="8" t="s">
        <v>221</v>
      </c>
      <c r="B337" s="379"/>
      <c r="C337" s="2128"/>
      <c r="D337" s="960" t="s">
        <v>68</v>
      </c>
      <c r="E337" s="641"/>
      <c r="F337" s="641"/>
      <c r="G337" s="641"/>
      <c r="H337" s="641"/>
      <c r="I337" s="641"/>
      <c r="J337" s="641"/>
      <c r="K337" s="491" t="s">
        <v>406</v>
      </c>
      <c r="L337" s="492" t="s">
        <v>407</v>
      </c>
      <c r="M337" s="430" t="s">
        <v>408</v>
      </c>
      <c r="N337" s="430" t="s">
        <v>409</v>
      </c>
      <c r="O337" s="430" t="s">
        <v>410</v>
      </c>
      <c r="P337" s="457" t="s">
        <v>411</v>
      </c>
      <c r="Q337" s="1255" t="s">
        <v>1272</v>
      </c>
      <c r="R337" s="1254" t="s">
        <v>1273</v>
      </c>
      <c r="S337" s="1254" t="s">
        <v>1274</v>
      </c>
      <c r="T337" s="1254" t="s">
        <v>1275</v>
      </c>
      <c r="U337" s="1254" t="s">
        <v>1276</v>
      </c>
      <c r="V337" s="1253" t="s">
        <v>1277</v>
      </c>
      <c r="W337" s="1788" t="s">
        <v>1539</v>
      </c>
      <c r="X337" s="1785" t="s">
        <v>1540</v>
      </c>
      <c r="Y337" s="1785" t="s">
        <v>1541</v>
      </c>
      <c r="Z337" s="1785" t="s">
        <v>1542</v>
      </c>
      <c r="AA337" s="1785" t="s">
        <v>1543</v>
      </c>
      <c r="AB337" s="1786" t="s">
        <v>1544</v>
      </c>
    </row>
    <row r="338" spans="1:28" ht="12.95" customHeight="1" thickBot="1" x14ac:dyDescent="0.25">
      <c r="A338" s="8" t="s">
        <v>220</v>
      </c>
      <c r="B338" s="379"/>
      <c r="C338" s="2127"/>
      <c r="D338" s="2384" t="s">
        <v>7</v>
      </c>
      <c r="E338" s="2385"/>
      <c r="F338" s="2385"/>
      <c r="G338" s="2385"/>
      <c r="H338" s="2385"/>
      <c r="I338" s="2385"/>
      <c r="J338" s="2385"/>
      <c r="K338" s="2385"/>
      <c r="L338" s="2385"/>
      <c r="M338" s="2385"/>
      <c r="N338" s="2385"/>
      <c r="O338" s="2385"/>
      <c r="P338" s="2385"/>
      <c r="Q338" s="2385"/>
      <c r="R338" s="2385"/>
      <c r="S338" s="2385"/>
      <c r="T338" s="2385"/>
      <c r="U338" s="2385"/>
      <c r="V338" s="2385"/>
      <c r="W338" s="2385"/>
      <c r="X338" s="2385"/>
      <c r="Y338" s="2385"/>
      <c r="Z338" s="2385"/>
      <c r="AA338" s="2385"/>
      <c r="AB338" s="2386"/>
    </row>
    <row r="339" spans="1:28" ht="12.95" customHeight="1" thickBot="1" x14ac:dyDescent="0.25">
      <c r="A339" s="8" t="s">
        <v>220</v>
      </c>
      <c r="B339" s="379"/>
      <c r="C339" s="2129"/>
      <c r="D339" s="1894" t="s">
        <v>226</v>
      </c>
      <c r="E339" s="1895"/>
      <c r="F339" s="1895"/>
      <c r="G339" s="1895"/>
      <c r="H339" s="1895"/>
      <c r="I339" s="1895"/>
      <c r="J339" s="1895"/>
      <c r="K339" s="1895"/>
      <c r="L339" s="1895"/>
      <c r="M339" s="1895"/>
      <c r="N339" s="1895"/>
      <c r="O339" s="1895"/>
      <c r="P339" s="1895"/>
      <c r="Q339" s="1895"/>
      <c r="R339" s="1895"/>
      <c r="S339" s="1895"/>
      <c r="T339" s="1895"/>
      <c r="U339" s="1895"/>
      <c r="V339" s="1895"/>
      <c r="W339" s="1895"/>
      <c r="X339" s="1895"/>
      <c r="Y339" s="1895"/>
      <c r="Z339" s="1895"/>
      <c r="AA339" s="1895"/>
      <c r="AB339" s="1896"/>
    </row>
    <row r="340" spans="1:28" ht="12.75" customHeight="1" thickBot="1" x14ac:dyDescent="0.25">
      <c r="A340" s="8" t="s">
        <v>220</v>
      </c>
      <c r="B340" s="741"/>
      <c r="C340" s="962" t="s">
        <v>22</v>
      </c>
      <c r="D340" s="963"/>
      <c r="E340" s="2121" t="s">
        <v>340</v>
      </c>
      <c r="F340" s="2122"/>
      <c r="G340" s="2122"/>
      <c r="H340" s="2122"/>
      <c r="I340" s="2122"/>
      <c r="J340" s="2123"/>
      <c r="K340" s="1982" t="s">
        <v>327</v>
      </c>
      <c r="L340" s="2004"/>
      <c r="M340" s="2004"/>
      <c r="N340" s="2004"/>
      <c r="O340" s="2004"/>
      <c r="P340" s="2005"/>
      <c r="Q340" s="2316" t="s">
        <v>163</v>
      </c>
      <c r="R340" s="2317"/>
      <c r="S340" s="2317"/>
      <c r="T340" s="2317"/>
      <c r="U340" s="2317"/>
      <c r="V340" s="2318"/>
      <c r="W340" s="2159" t="s">
        <v>162</v>
      </c>
      <c r="X340" s="2160"/>
      <c r="Y340" s="2160"/>
      <c r="Z340" s="2160"/>
      <c r="AA340" s="2160"/>
      <c r="AB340" s="2161"/>
    </row>
    <row r="341" spans="1:28" ht="12.95" customHeight="1" x14ac:dyDescent="0.2">
      <c r="A341" s="8" t="s">
        <v>220</v>
      </c>
      <c r="B341" s="379"/>
      <c r="C341" s="1837" t="s">
        <v>981</v>
      </c>
      <c r="D341" s="2098" t="s">
        <v>12</v>
      </c>
      <c r="E341" s="2116" t="s">
        <v>73</v>
      </c>
      <c r="F341" s="2117"/>
      <c r="G341" s="2117"/>
      <c r="H341" s="2117"/>
      <c r="I341" s="2117"/>
      <c r="J341" s="2117"/>
      <c r="K341" s="2094">
        <v>3547</v>
      </c>
      <c r="L341" s="2095"/>
      <c r="M341" s="2095"/>
      <c r="N341" s="2095"/>
      <c r="O341" s="2095"/>
      <c r="P341" s="2095"/>
      <c r="Q341" s="1964">
        <v>3750</v>
      </c>
      <c r="R341" s="1965"/>
      <c r="S341" s="1965"/>
      <c r="T341" s="1965"/>
      <c r="U341" s="1965"/>
      <c r="V341" s="2097"/>
      <c r="W341" s="1965">
        <v>1835</v>
      </c>
      <c r="X341" s="1965"/>
      <c r="Y341" s="1965"/>
      <c r="Z341" s="1965"/>
      <c r="AA341" s="1965"/>
      <c r="AB341" s="2097"/>
    </row>
    <row r="342" spans="1:28" ht="12.95" customHeight="1" x14ac:dyDescent="0.2">
      <c r="A342" s="8" t="s">
        <v>220</v>
      </c>
      <c r="B342" s="379"/>
      <c r="C342" s="1838"/>
      <c r="D342" s="2098"/>
      <c r="E342" s="1945" t="s">
        <v>74</v>
      </c>
      <c r="F342" s="1946"/>
      <c r="G342" s="1946"/>
      <c r="H342" s="1946"/>
      <c r="I342" s="1946"/>
      <c r="J342" s="1946"/>
      <c r="K342" s="1930">
        <v>1620</v>
      </c>
      <c r="L342" s="1855"/>
      <c r="M342" s="1855"/>
      <c r="N342" s="1855"/>
      <c r="O342" s="1855"/>
      <c r="P342" s="1855"/>
      <c r="Q342" s="1931">
        <v>2730</v>
      </c>
      <c r="R342" s="1876"/>
      <c r="S342" s="1876"/>
      <c r="T342" s="1876"/>
      <c r="U342" s="1876"/>
      <c r="V342" s="1877"/>
      <c r="W342" s="1876">
        <v>5125</v>
      </c>
      <c r="X342" s="1876"/>
      <c r="Y342" s="1876"/>
      <c r="Z342" s="1876"/>
      <c r="AA342" s="1876"/>
      <c r="AB342" s="1877"/>
    </row>
    <row r="343" spans="1:28" ht="12.95" customHeight="1" thickBot="1" x14ac:dyDescent="0.25">
      <c r="A343" s="8" t="s">
        <v>220</v>
      </c>
      <c r="B343" s="741"/>
      <c r="C343" s="1838"/>
      <c r="D343" s="752"/>
      <c r="E343" s="543" t="s">
        <v>103</v>
      </c>
      <c r="F343" s="541"/>
      <c r="G343" s="456"/>
      <c r="H343" s="542" t="s">
        <v>9</v>
      </c>
      <c r="I343" s="732"/>
      <c r="J343" s="732"/>
      <c r="K343" s="1930" t="s">
        <v>511</v>
      </c>
      <c r="L343" s="1855"/>
      <c r="M343" s="1855"/>
      <c r="N343" s="1855"/>
      <c r="O343" s="1855"/>
      <c r="P343" s="1855"/>
      <c r="Q343" s="1931">
        <v>6480</v>
      </c>
      <c r="R343" s="1876"/>
      <c r="S343" s="1876"/>
      <c r="T343" s="1876"/>
      <c r="U343" s="1876"/>
      <c r="V343" s="1877"/>
      <c r="W343" s="1876">
        <v>6960</v>
      </c>
      <c r="X343" s="1876"/>
      <c r="Y343" s="1876"/>
      <c r="Z343" s="1876"/>
      <c r="AA343" s="1876"/>
      <c r="AB343" s="1877"/>
    </row>
    <row r="344" spans="1:28" ht="12.95" customHeight="1" x14ac:dyDescent="0.2">
      <c r="A344" s="8" t="s">
        <v>220</v>
      </c>
      <c r="B344" s="379"/>
      <c r="C344" s="1838"/>
      <c r="D344" s="2002" t="s">
        <v>10</v>
      </c>
      <c r="E344" s="1973" t="s">
        <v>120</v>
      </c>
      <c r="F344" s="1963"/>
      <c r="G344" s="1963"/>
      <c r="H344" s="1963"/>
      <c r="I344" s="1963"/>
      <c r="J344" s="1963"/>
      <c r="K344" s="1973" t="s">
        <v>188</v>
      </c>
      <c r="L344" s="1963"/>
      <c r="M344" s="671"/>
      <c r="N344" s="1950" t="s">
        <v>1220</v>
      </c>
      <c r="O344" s="1950"/>
      <c r="P344" s="1951"/>
      <c r="Q344" s="1964" t="s">
        <v>1278</v>
      </c>
      <c r="R344" s="1965"/>
      <c r="S344" s="1965"/>
      <c r="T344" s="1965"/>
      <c r="U344" s="1965"/>
      <c r="V344" s="1965"/>
      <c r="W344" s="1966" t="s">
        <v>1545</v>
      </c>
      <c r="X344" s="1967"/>
      <c r="Y344" s="1967"/>
      <c r="Z344" s="1967"/>
      <c r="AA344" s="1967"/>
      <c r="AB344" s="1968"/>
    </row>
    <row r="345" spans="1:28" ht="12.95" customHeight="1" x14ac:dyDescent="0.2">
      <c r="A345" s="8" t="s">
        <v>220</v>
      </c>
      <c r="B345" s="741"/>
      <c r="C345" s="1838"/>
      <c r="D345" s="2003"/>
      <c r="E345" s="1871" t="s">
        <v>115</v>
      </c>
      <c r="F345" s="1872"/>
      <c r="G345" s="1872"/>
      <c r="H345" s="1872"/>
      <c r="I345" s="1872"/>
      <c r="J345" s="1872"/>
      <c r="K345" s="1871" t="s">
        <v>189</v>
      </c>
      <c r="L345" s="1872"/>
      <c r="M345" s="541"/>
      <c r="N345" s="1952"/>
      <c r="O345" s="1952"/>
      <c r="P345" s="1953"/>
      <c r="Q345" s="1931" t="s">
        <v>1279</v>
      </c>
      <c r="R345" s="1876"/>
      <c r="S345" s="1876"/>
      <c r="T345" s="1876"/>
      <c r="U345" s="1876"/>
      <c r="V345" s="1876"/>
      <c r="W345" s="1939" t="s">
        <v>1546</v>
      </c>
      <c r="X345" s="1940"/>
      <c r="Y345" s="1940"/>
      <c r="Z345" s="1940"/>
      <c r="AA345" s="1940"/>
      <c r="AB345" s="1941"/>
    </row>
    <row r="346" spans="1:28" ht="12.95" customHeight="1" thickBot="1" x14ac:dyDescent="0.25">
      <c r="A346" s="8" t="s">
        <v>220</v>
      </c>
      <c r="B346" s="379"/>
      <c r="C346" s="1838"/>
      <c r="D346" s="718"/>
      <c r="E346" s="1910" t="s">
        <v>103</v>
      </c>
      <c r="F346" s="1911"/>
      <c r="G346" s="1911"/>
      <c r="H346" s="1911">
        <v>2630</v>
      </c>
      <c r="I346" s="1911"/>
      <c r="J346" s="1911"/>
      <c r="K346" s="964" t="s">
        <v>72</v>
      </c>
      <c r="L346" s="965"/>
      <c r="M346" s="965"/>
      <c r="N346" s="965">
        <v>3639</v>
      </c>
      <c r="O346" s="965"/>
      <c r="P346" s="965"/>
      <c r="Q346" s="1958" t="s">
        <v>1280</v>
      </c>
      <c r="R346" s="1959"/>
      <c r="S346" s="1959"/>
      <c r="T346" s="1959"/>
      <c r="U346" s="1959"/>
      <c r="V346" s="1959"/>
      <c r="W346" s="1960" t="s">
        <v>1547</v>
      </c>
      <c r="X346" s="1961"/>
      <c r="Y346" s="1961"/>
      <c r="Z346" s="1961"/>
      <c r="AA346" s="1961"/>
      <c r="AB346" s="1962"/>
    </row>
    <row r="347" spans="1:28" ht="12.95" customHeight="1" thickBot="1" x14ac:dyDescent="0.25">
      <c r="A347" s="8" t="s">
        <v>221</v>
      </c>
      <c r="B347" s="379"/>
      <c r="C347" s="1838"/>
      <c r="D347" s="731"/>
      <c r="E347" s="544" t="s">
        <v>18</v>
      </c>
      <c r="F347" s="544" t="s">
        <v>17</v>
      </c>
      <c r="G347" s="544" t="s">
        <v>16</v>
      </c>
      <c r="H347" s="544" t="s">
        <v>15</v>
      </c>
      <c r="I347" s="544" t="s">
        <v>14</v>
      </c>
      <c r="J347" s="544" t="s">
        <v>13</v>
      </c>
      <c r="K347" s="537" t="s">
        <v>18</v>
      </c>
      <c r="L347" s="537" t="s">
        <v>17</v>
      </c>
      <c r="M347" s="538" t="s">
        <v>16</v>
      </c>
      <c r="N347" s="537" t="s">
        <v>15</v>
      </c>
      <c r="O347" s="537" t="s">
        <v>14</v>
      </c>
      <c r="P347" s="537" t="s">
        <v>13</v>
      </c>
      <c r="Q347" s="545" t="s">
        <v>18</v>
      </c>
      <c r="R347" s="538" t="s">
        <v>17</v>
      </c>
      <c r="S347" s="538" t="s">
        <v>16</v>
      </c>
      <c r="T347" s="538" t="s">
        <v>15</v>
      </c>
      <c r="U347" s="538" t="s">
        <v>14</v>
      </c>
      <c r="V347" s="546" t="s">
        <v>13</v>
      </c>
      <c r="W347" s="547" t="s">
        <v>18</v>
      </c>
      <c r="X347" s="538" t="s">
        <v>17</v>
      </c>
      <c r="Y347" s="538" t="s">
        <v>16</v>
      </c>
      <c r="Z347" s="538" t="s">
        <v>15</v>
      </c>
      <c r="AA347" s="538" t="s">
        <v>14</v>
      </c>
      <c r="AB347" s="546" t="s">
        <v>13</v>
      </c>
    </row>
    <row r="348" spans="1:28" ht="12.95" customHeight="1" x14ac:dyDescent="0.2">
      <c r="A348" s="8" t="s">
        <v>221</v>
      </c>
      <c r="B348" s="379"/>
      <c r="C348" s="1838"/>
      <c r="D348" s="717" t="s">
        <v>12</v>
      </c>
      <c r="E348" s="2116" t="s">
        <v>431</v>
      </c>
      <c r="F348" s="2117"/>
      <c r="G348" s="2117"/>
      <c r="H348" s="2117"/>
      <c r="I348" s="2117"/>
      <c r="J348" s="2117"/>
      <c r="K348" s="692"/>
      <c r="L348" s="691"/>
      <c r="M348" s="691"/>
      <c r="N348" s="691"/>
      <c r="O348" s="691"/>
      <c r="P348" s="691"/>
      <c r="Q348" s="497"/>
      <c r="R348" s="463"/>
      <c r="S348" s="463"/>
      <c r="T348" s="463"/>
      <c r="U348" s="463"/>
      <c r="V348" s="415"/>
      <c r="W348" s="497"/>
      <c r="X348" s="463"/>
      <c r="Y348" s="463"/>
      <c r="Z348" s="463"/>
      <c r="AA348" s="463"/>
      <c r="AB348" s="464"/>
    </row>
    <row r="349" spans="1:28" ht="24.75" customHeight="1" x14ac:dyDescent="0.2">
      <c r="A349" s="8" t="s">
        <v>221</v>
      </c>
      <c r="B349" s="379"/>
      <c r="C349" s="1838"/>
      <c r="D349" s="416" t="s">
        <v>188</v>
      </c>
      <c r="E349" s="697"/>
      <c r="F349" s="690"/>
      <c r="G349" s="690"/>
      <c r="H349" s="690"/>
      <c r="I349" s="690"/>
      <c r="J349" s="690"/>
      <c r="K349" s="697"/>
      <c r="L349" s="690"/>
      <c r="M349" s="690"/>
      <c r="N349" s="690"/>
      <c r="O349" s="690"/>
      <c r="P349" s="690"/>
      <c r="Q349" s="419" t="s">
        <v>495</v>
      </c>
      <c r="R349" s="389" t="s">
        <v>476</v>
      </c>
      <c r="S349" s="389" t="s">
        <v>198</v>
      </c>
      <c r="T349" s="389" t="s">
        <v>496</v>
      </c>
      <c r="U349" s="389" t="s">
        <v>479</v>
      </c>
      <c r="V349" s="422" t="s">
        <v>497</v>
      </c>
      <c r="W349" s="421" t="s">
        <v>498</v>
      </c>
      <c r="X349" s="389" t="s">
        <v>499</v>
      </c>
      <c r="Y349" s="389" t="s">
        <v>500</v>
      </c>
      <c r="Z349" s="389" t="s">
        <v>487</v>
      </c>
      <c r="AA349" s="389" t="s">
        <v>1451</v>
      </c>
      <c r="AB349" s="420" t="s">
        <v>501</v>
      </c>
    </row>
    <row r="350" spans="1:28" ht="24.75" customHeight="1" x14ac:dyDescent="0.2">
      <c r="A350" s="8" t="s">
        <v>221</v>
      </c>
      <c r="B350" s="379"/>
      <c r="C350" s="1838"/>
      <c r="D350" s="416" t="s">
        <v>189</v>
      </c>
      <c r="E350" s="697"/>
      <c r="F350" s="690"/>
      <c r="G350" s="690"/>
      <c r="H350" s="690"/>
      <c r="I350" s="690"/>
      <c r="J350" s="690"/>
      <c r="K350" s="697"/>
      <c r="L350" s="690"/>
      <c r="M350" s="743"/>
      <c r="N350" s="743"/>
      <c r="O350" s="743"/>
      <c r="P350" s="743"/>
      <c r="Q350" s="419" t="s">
        <v>466</v>
      </c>
      <c r="R350" s="389" t="s">
        <v>461</v>
      </c>
      <c r="S350" s="389" t="s">
        <v>467</v>
      </c>
      <c r="T350" s="389" t="s">
        <v>463</v>
      </c>
      <c r="U350" s="389" t="s">
        <v>468</v>
      </c>
      <c r="V350" s="422" t="s">
        <v>469</v>
      </c>
      <c r="W350" s="421" t="s">
        <v>502</v>
      </c>
      <c r="X350" s="389" t="s">
        <v>476</v>
      </c>
      <c r="Y350" s="389" t="s">
        <v>198</v>
      </c>
      <c r="Z350" s="389" t="s">
        <v>512</v>
      </c>
      <c r="AA350" s="389" t="s">
        <v>1452</v>
      </c>
      <c r="AB350" s="420" t="s">
        <v>488</v>
      </c>
    </row>
    <row r="351" spans="1:28" ht="25.5" customHeight="1" thickBot="1" x14ac:dyDescent="0.25">
      <c r="A351" s="8" t="s">
        <v>221</v>
      </c>
      <c r="B351" s="379"/>
      <c r="C351" s="1838"/>
      <c r="D351" s="416" t="s">
        <v>68</v>
      </c>
      <c r="E351" s="640"/>
      <c r="F351" s="641"/>
      <c r="G351" s="641"/>
      <c r="H351" s="641"/>
      <c r="I351" s="641"/>
      <c r="J351" s="641"/>
      <c r="K351" s="499" t="s">
        <v>343</v>
      </c>
      <c r="L351" s="500" t="s">
        <v>344</v>
      </c>
      <c r="M351" s="433" t="s">
        <v>349</v>
      </c>
      <c r="N351" s="433" t="s">
        <v>353</v>
      </c>
      <c r="O351" s="433" t="s">
        <v>351</v>
      </c>
      <c r="P351" s="434" t="s">
        <v>352</v>
      </c>
      <c r="Q351" s="539" t="s">
        <v>203</v>
      </c>
      <c r="R351" s="1492" t="s">
        <v>201</v>
      </c>
      <c r="S351" s="1492" t="s">
        <v>204</v>
      </c>
      <c r="T351" s="1492" t="s">
        <v>205</v>
      </c>
      <c r="U351" s="1492" t="s">
        <v>206</v>
      </c>
      <c r="V351" s="1493" t="s">
        <v>207</v>
      </c>
      <c r="W351" s="1494" t="s">
        <v>208</v>
      </c>
      <c r="X351" s="1492" t="s">
        <v>209</v>
      </c>
      <c r="Y351" s="1492" t="s">
        <v>210</v>
      </c>
      <c r="Z351" s="1492" t="s">
        <v>211</v>
      </c>
      <c r="AA351" s="1492" t="s">
        <v>1453</v>
      </c>
      <c r="AB351" s="540" t="s">
        <v>207</v>
      </c>
    </row>
    <row r="352" spans="1:28" ht="12.95" customHeight="1" thickBot="1" x14ac:dyDescent="0.25">
      <c r="A352" s="8" t="s">
        <v>221</v>
      </c>
      <c r="B352" s="379"/>
      <c r="C352" s="1838"/>
      <c r="D352" s="733" t="s">
        <v>10</v>
      </c>
      <c r="E352" s="806"/>
      <c r="F352" s="806"/>
      <c r="G352" s="806"/>
      <c r="H352" s="806"/>
      <c r="I352" s="806"/>
      <c r="J352" s="806"/>
      <c r="K352" s="548"/>
      <c r="L352" s="549"/>
      <c r="M352" s="550"/>
      <c r="N352" s="550"/>
      <c r="O352" s="550"/>
      <c r="P352" s="551"/>
      <c r="Q352" s="724"/>
      <c r="R352" s="1473"/>
      <c r="S352" s="1473"/>
      <c r="T352" s="1473"/>
      <c r="U352" s="1473"/>
      <c r="V352" s="1473"/>
      <c r="W352" s="1472"/>
      <c r="X352" s="1473"/>
      <c r="Y352" s="1473"/>
      <c r="Z352" s="1473"/>
      <c r="AA352" s="1473"/>
      <c r="AB352" s="726"/>
    </row>
    <row r="353" spans="1:28" ht="12.95" customHeight="1" x14ac:dyDescent="0.2">
      <c r="A353" s="8" t="s">
        <v>221</v>
      </c>
      <c r="B353" s="379"/>
      <c r="C353" s="1838"/>
      <c r="D353" s="490" t="s">
        <v>188</v>
      </c>
      <c r="E353" s="374"/>
      <c r="F353" s="374"/>
      <c r="G353" s="374"/>
      <c r="H353" s="374"/>
      <c r="I353" s="374"/>
      <c r="J353" s="374"/>
      <c r="K353" s="506"/>
      <c r="L353" s="501"/>
      <c r="M353" s="502"/>
      <c r="N353" s="502"/>
      <c r="O353" s="502"/>
      <c r="P353" s="529"/>
      <c r="Q353" s="1262" t="s">
        <v>1281</v>
      </c>
      <c r="R353" s="1495" t="s">
        <v>1282</v>
      </c>
      <c r="S353" s="1495" t="s">
        <v>1283</v>
      </c>
      <c r="T353" s="1495" t="s">
        <v>1284</v>
      </c>
      <c r="U353" s="1495" t="s">
        <v>1285</v>
      </c>
      <c r="V353" s="1496" t="s">
        <v>1286</v>
      </c>
      <c r="W353" s="1770" t="s">
        <v>1548</v>
      </c>
      <c r="X353" s="1770" t="s">
        <v>1549</v>
      </c>
      <c r="Y353" s="1770" t="s">
        <v>1550</v>
      </c>
      <c r="Z353" s="1770" t="s">
        <v>1551</v>
      </c>
      <c r="AA353" s="1770" t="s">
        <v>1552</v>
      </c>
      <c r="AB353" s="1771" t="s">
        <v>1553</v>
      </c>
    </row>
    <row r="354" spans="1:28" ht="12.95" customHeight="1" x14ac:dyDescent="0.2">
      <c r="A354" s="8" t="s">
        <v>221</v>
      </c>
      <c r="B354" s="741"/>
      <c r="C354" s="1838"/>
      <c r="D354" s="490" t="s">
        <v>189</v>
      </c>
      <c r="E354" s="374"/>
      <c r="F354" s="374"/>
      <c r="G354" s="374"/>
      <c r="H354" s="374"/>
      <c r="I354" s="374"/>
      <c r="J354" s="374"/>
      <c r="K354" s="506"/>
      <c r="L354" s="501"/>
      <c r="M354" s="502"/>
      <c r="N354" s="502"/>
      <c r="O354" s="502"/>
      <c r="P354" s="529"/>
      <c r="Q354" s="1260" t="s">
        <v>1242</v>
      </c>
      <c r="R354" s="1497" t="s">
        <v>1287</v>
      </c>
      <c r="S354" s="1497" t="s">
        <v>1288</v>
      </c>
      <c r="T354" s="1497" t="s">
        <v>1289</v>
      </c>
      <c r="U354" s="1497" t="s">
        <v>1290</v>
      </c>
      <c r="V354" s="1498" t="s">
        <v>1247</v>
      </c>
      <c r="W354" s="1770" t="s">
        <v>1554</v>
      </c>
      <c r="X354" s="1770" t="s">
        <v>1555</v>
      </c>
      <c r="Y354" s="1770" t="s">
        <v>1514</v>
      </c>
      <c r="Z354" s="1770" t="s">
        <v>1556</v>
      </c>
      <c r="AA354" s="1770" t="s">
        <v>1557</v>
      </c>
      <c r="AB354" s="1771" t="s">
        <v>1558</v>
      </c>
    </row>
    <row r="355" spans="1:28" ht="27" customHeight="1" thickBot="1" x14ac:dyDescent="0.25">
      <c r="A355" s="8" t="s">
        <v>221</v>
      </c>
      <c r="B355" s="379"/>
      <c r="C355" s="1839"/>
      <c r="D355" s="960" t="s">
        <v>68</v>
      </c>
      <c r="E355" s="811"/>
      <c r="F355" s="811"/>
      <c r="G355" s="811"/>
      <c r="H355" s="811"/>
      <c r="I355" s="811"/>
      <c r="J355" s="811"/>
      <c r="K355" s="517" t="s">
        <v>513</v>
      </c>
      <c r="L355" s="518" t="s">
        <v>514</v>
      </c>
      <c r="M355" s="428" t="s">
        <v>515</v>
      </c>
      <c r="N355" s="1298" t="s">
        <v>357</v>
      </c>
      <c r="O355" s="428" t="s">
        <v>516</v>
      </c>
      <c r="P355" s="528" t="s">
        <v>517</v>
      </c>
      <c r="Q355" s="1259" t="s">
        <v>1291</v>
      </c>
      <c r="R355" s="1499" t="s">
        <v>1292</v>
      </c>
      <c r="S355" s="1499" t="s">
        <v>1293</v>
      </c>
      <c r="T355" s="1499" t="s">
        <v>1294</v>
      </c>
      <c r="U355" s="1499" t="s">
        <v>1295</v>
      </c>
      <c r="V355" s="1500" t="s">
        <v>1296</v>
      </c>
      <c r="W355" s="1772" t="s">
        <v>1559</v>
      </c>
      <c r="X355" s="1772" t="s">
        <v>1560</v>
      </c>
      <c r="Y355" s="1772" t="s">
        <v>1561</v>
      </c>
      <c r="Z355" s="1772" t="s">
        <v>1562</v>
      </c>
      <c r="AA355" s="1772" t="s">
        <v>1563</v>
      </c>
      <c r="AB355" s="1789" t="s">
        <v>1564</v>
      </c>
    </row>
    <row r="356" spans="1:28" ht="12.95" customHeight="1" thickBot="1" x14ac:dyDescent="0.25">
      <c r="A356" s="8" t="s">
        <v>220</v>
      </c>
      <c r="B356" s="911" t="s">
        <v>6</v>
      </c>
      <c r="C356" s="793"/>
      <c r="D356" s="2115" t="s">
        <v>7</v>
      </c>
      <c r="E356" s="2092"/>
      <c r="F356" s="2092"/>
      <c r="G356" s="2092"/>
      <c r="H356" s="2092"/>
      <c r="I356" s="2092"/>
      <c r="J356" s="2092"/>
      <c r="K356" s="2092"/>
      <c r="L356" s="2092"/>
      <c r="M356" s="2092"/>
      <c r="N356" s="2092"/>
      <c r="O356" s="2092"/>
      <c r="P356" s="2092"/>
      <c r="Q356" s="2124"/>
      <c r="R356" s="2124"/>
      <c r="S356" s="2124"/>
      <c r="T356" s="2124"/>
      <c r="U356" s="2124"/>
      <c r="V356" s="2124"/>
      <c r="W356" s="2092"/>
      <c r="X356" s="2092"/>
      <c r="Y356" s="2092"/>
      <c r="Z356" s="2092"/>
      <c r="AA356" s="2092"/>
      <c r="AB356" s="2093"/>
    </row>
    <row r="357" spans="1:28" ht="12.95" customHeight="1" thickBot="1" x14ac:dyDescent="0.25">
      <c r="A357" s="8" t="s">
        <v>220</v>
      </c>
      <c r="B357" s="1208">
        <v>0.45</v>
      </c>
      <c r="C357" s="699"/>
      <c r="D357" s="857"/>
      <c r="E357" s="1840" t="s">
        <v>531</v>
      </c>
      <c r="F357" s="1840"/>
      <c r="G357" s="1840"/>
      <c r="H357" s="1840"/>
      <c r="I357" s="1840"/>
      <c r="J357" s="1840"/>
      <c r="K357" s="1840"/>
      <c r="L357" s="1840"/>
      <c r="M357" s="1840"/>
      <c r="N357" s="1840"/>
      <c r="O357" s="1840"/>
      <c r="P357" s="1840"/>
      <c r="Q357" s="1840"/>
      <c r="R357" s="1840"/>
      <c r="S357" s="1840"/>
      <c r="T357" s="1840"/>
      <c r="U357" s="1840"/>
      <c r="V357" s="1840"/>
      <c r="W357" s="1840"/>
      <c r="X357" s="1840"/>
      <c r="Y357" s="1840"/>
      <c r="Z357" s="1840"/>
      <c r="AA357" s="1840"/>
      <c r="AB357" s="1841"/>
    </row>
    <row r="358" spans="1:28" ht="12.95" customHeight="1" thickBot="1" x14ac:dyDescent="0.25">
      <c r="A358" s="8" t="s">
        <v>220</v>
      </c>
      <c r="B358" s="379"/>
      <c r="C358" s="853"/>
      <c r="D358" s="854"/>
      <c r="E358" s="855"/>
      <c r="F358" s="855"/>
      <c r="G358" s="855"/>
      <c r="H358" s="855"/>
      <c r="I358" s="855"/>
      <c r="J358" s="855"/>
      <c r="K358" s="855"/>
      <c r="L358" s="855"/>
      <c r="M358" s="855"/>
      <c r="N358" s="855"/>
      <c r="O358" s="855"/>
      <c r="P358" s="855"/>
      <c r="Q358" s="855"/>
      <c r="R358" s="855"/>
      <c r="S358" s="855"/>
      <c r="T358" s="855"/>
      <c r="U358" s="855"/>
      <c r="V358" s="855"/>
      <c r="W358" s="855"/>
      <c r="X358" s="855"/>
      <c r="Y358" s="855"/>
      <c r="Z358" s="855"/>
      <c r="AA358" s="855"/>
      <c r="AB358" s="856"/>
    </row>
    <row r="359" spans="1:28" ht="13.5" customHeight="1" thickBot="1" x14ac:dyDescent="0.25">
      <c r="A359" s="8" t="s">
        <v>220</v>
      </c>
      <c r="B359" s="2309" t="s">
        <v>5</v>
      </c>
      <c r="C359" s="938" t="s">
        <v>996</v>
      </c>
      <c r="D359" s="966"/>
      <c r="E359" s="2337" t="s">
        <v>145</v>
      </c>
      <c r="F359" s="2083"/>
      <c r="G359" s="2083"/>
      <c r="H359" s="2083"/>
      <c r="I359" s="2083"/>
      <c r="J359" s="2084"/>
      <c r="K359" s="2337" t="s">
        <v>3</v>
      </c>
      <c r="L359" s="2338"/>
      <c r="M359" s="2338"/>
      <c r="N359" s="2338"/>
      <c r="O359" s="2338"/>
      <c r="P359" s="2339"/>
      <c r="Q359" s="2337" t="s">
        <v>152</v>
      </c>
      <c r="R359" s="2338" t="s">
        <v>2</v>
      </c>
      <c r="S359" s="2338" t="s">
        <v>2</v>
      </c>
      <c r="T359" s="2338" t="s">
        <v>2</v>
      </c>
      <c r="U359" s="2338" t="s">
        <v>2</v>
      </c>
      <c r="V359" s="2339" t="s">
        <v>2</v>
      </c>
      <c r="W359" s="2337" t="s">
        <v>153</v>
      </c>
      <c r="X359" s="2338"/>
      <c r="Y359" s="2338"/>
      <c r="Z359" s="2338"/>
      <c r="AA359" s="2338"/>
      <c r="AB359" s="2339"/>
    </row>
    <row r="360" spans="1:28" ht="13.5" thickBot="1" x14ac:dyDescent="0.25">
      <c r="A360" s="8" t="s">
        <v>220</v>
      </c>
      <c r="B360" s="2310"/>
      <c r="C360" s="940"/>
      <c r="D360" s="967"/>
      <c r="E360" s="1894"/>
      <c r="F360" s="1895"/>
      <c r="G360" s="1895"/>
      <c r="H360" s="1895"/>
      <c r="I360" s="1895"/>
      <c r="J360" s="1896"/>
      <c r="K360" s="2340"/>
      <c r="L360" s="2341"/>
      <c r="M360" s="2341"/>
      <c r="N360" s="2341"/>
      <c r="O360" s="2341"/>
      <c r="P360" s="2342"/>
      <c r="Q360" s="2340"/>
      <c r="R360" s="2341"/>
      <c r="S360" s="2341"/>
      <c r="T360" s="2341"/>
      <c r="U360" s="2341"/>
      <c r="V360" s="2342"/>
      <c r="W360" s="2088" t="s">
        <v>157</v>
      </c>
      <c r="X360" s="2089"/>
      <c r="Y360" s="2089"/>
      <c r="Z360" s="2089"/>
      <c r="AA360" s="2089"/>
      <c r="AB360" s="2090"/>
    </row>
    <row r="361" spans="1:28" ht="13.5" thickBot="1" x14ac:dyDescent="0.25">
      <c r="A361" s="8" t="s">
        <v>220</v>
      </c>
      <c r="B361" s="2309" t="s">
        <v>1</v>
      </c>
      <c r="C361" s="938" t="s">
        <v>0</v>
      </c>
      <c r="D361" s="968"/>
      <c r="E361" s="2387"/>
      <c r="F361" s="2388"/>
      <c r="G361" s="2388"/>
      <c r="H361" s="2388"/>
      <c r="I361" s="2388"/>
      <c r="J361" s="2388"/>
      <c r="K361" s="2388"/>
      <c r="L361" s="2388"/>
      <c r="M361" s="2388"/>
      <c r="N361" s="2388"/>
      <c r="O361" s="2388"/>
      <c r="P361" s="2388"/>
      <c r="Q361" s="2388"/>
      <c r="R361" s="2388"/>
      <c r="S361" s="2388"/>
      <c r="T361" s="2388"/>
      <c r="U361" s="2388"/>
      <c r="V361" s="2388"/>
      <c r="W361" s="2388"/>
      <c r="X361" s="2388"/>
      <c r="Y361" s="2388"/>
      <c r="Z361" s="2388"/>
      <c r="AA361" s="2388"/>
      <c r="AB361" s="2389"/>
    </row>
    <row r="362" spans="1:28" ht="13.5" customHeight="1" thickBot="1" x14ac:dyDescent="0.25">
      <c r="A362" s="8" t="s">
        <v>220</v>
      </c>
      <c r="B362" s="2310"/>
      <c r="C362" s="868"/>
      <c r="D362" s="969"/>
      <c r="E362" s="2390"/>
      <c r="F362" s="2391"/>
      <c r="G362" s="2391"/>
      <c r="H362" s="2391"/>
      <c r="I362" s="2391"/>
      <c r="J362" s="2391"/>
      <c r="K362" s="2391"/>
      <c r="L362" s="2391"/>
      <c r="M362" s="2391"/>
      <c r="N362" s="2391"/>
      <c r="O362" s="2391"/>
      <c r="P362" s="2391"/>
      <c r="Q362" s="2391"/>
      <c r="R362" s="2391"/>
      <c r="S362" s="2391"/>
      <c r="T362" s="2391"/>
      <c r="U362" s="2391"/>
      <c r="V362" s="2391"/>
      <c r="W362" s="2391"/>
      <c r="X362" s="2391"/>
      <c r="Y362" s="2391"/>
      <c r="Z362" s="2391"/>
      <c r="AA362" s="2391"/>
      <c r="AB362" s="2392"/>
    </row>
    <row r="363" spans="1:28" x14ac:dyDescent="0.2">
      <c r="A363" s="8" t="s">
        <v>220</v>
      </c>
      <c r="B363" s="1912"/>
      <c r="C363" s="1889"/>
      <c r="D363" s="1889"/>
      <c r="E363" s="1889"/>
      <c r="F363" s="1889"/>
      <c r="G363" s="1889"/>
      <c r="H363" s="1889"/>
      <c r="I363" s="1889"/>
      <c r="J363" s="1889"/>
      <c r="K363" s="1889"/>
      <c r="L363" s="1889"/>
      <c r="M363" s="1889"/>
      <c r="N363" s="1889"/>
      <c r="O363" s="1889"/>
      <c r="P363" s="1889"/>
      <c r="Q363" s="1889"/>
      <c r="R363" s="1889"/>
      <c r="S363" s="1889"/>
      <c r="T363" s="1889"/>
      <c r="U363" s="1889"/>
      <c r="V363" s="1889"/>
      <c r="W363" s="1889"/>
      <c r="X363" s="1889"/>
      <c r="Y363" s="1889"/>
      <c r="Z363" s="1889"/>
      <c r="AA363" s="1889"/>
      <c r="AB363" s="1890"/>
    </row>
    <row r="364" spans="1:28" ht="13.5" customHeight="1" thickBot="1" x14ac:dyDescent="0.25">
      <c r="A364" s="8" t="s">
        <v>220</v>
      </c>
      <c r="B364" s="1913"/>
      <c r="C364" s="1914"/>
      <c r="D364" s="1914"/>
      <c r="E364" s="1914"/>
      <c r="F364" s="1914"/>
      <c r="G364" s="1914"/>
      <c r="H364" s="1914"/>
      <c r="I364" s="1914"/>
      <c r="J364" s="1914"/>
      <c r="K364" s="1914"/>
      <c r="L364" s="1914"/>
      <c r="M364" s="1914"/>
      <c r="N364" s="1914"/>
      <c r="O364" s="1914"/>
      <c r="P364" s="1914"/>
      <c r="Q364" s="1914"/>
      <c r="R364" s="1914"/>
      <c r="S364" s="1914"/>
      <c r="T364" s="1914"/>
      <c r="U364" s="1914"/>
      <c r="V364" s="1914"/>
      <c r="W364" s="1914"/>
      <c r="X364" s="1914"/>
      <c r="Y364" s="1914"/>
      <c r="Z364" s="1914"/>
      <c r="AA364" s="1914"/>
      <c r="AB364" s="1915"/>
    </row>
    <row r="365" spans="1:28" ht="12.95" customHeight="1" thickBot="1" x14ac:dyDescent="0.25">
      <c r="A365" s="8" t="s">
        <v>220</v>
      </c>
      <c r="B365" s="936" t="s">
        <v>21</v>
      </c>
      <c r="C365" s="970" t="s">
        <v>20</v>
      </c>
      <c r="D365" s="971"/>
      <c r="E365" s="2107" t="s">
        <v>447</v>
      </c>
      <c r="F365" s="2108"/>
      <c r="G365" s="2108"/>
      <c r="H365" s="2108"/>
      <c r="I365" s="2108"/>
      <c r="J365" s="2109"/>
      <c r="K365" s="1878" t="s">
        <v>327</v>
      </c>
      <c r="L365" s="1879"/>
      <c r="M365" s="1879"/>
      <c r="N365" s="1879"/>
      <c r="O365" s="1879"/>
      <c r="P365" s="1880"/>
      <c r="Q365" s="2058" t="s">
        <v>163</v>
      </c>
      <c r="R365" s="2059"/>
      <c r="S365" s="2059"/>
      <c r="T365" s="2059"/>
      <c r="U365" s="2059"/>
      <c r="V365" s="2060"/>
      <c r="W365" s="1881" t="s">
        <v>162</v>
      </c>
      <c r="X365" s="1882"/>
      <c r="Y365" s="1882"/>
      <c r="Z365" s="1882"/>
      <c r="AA365" s="1882"/>
      <c r="AB365" s="1947"/>
    </row>
    <row r="366" spans="1:28" ht="12.95" customHeight="1" x14ac:dyDescent="0.2">
      <c r="A366" s="8" t="s">
        <v>220</v>
      </c>
      <c r="B366" s="2057" t="s">
        <v>359</v>
      </c>
      <c r="C366" s="2057" t="s">
        <v>142</v>
      </c>
      <c r="D366" s="2063" t="s">
        <v>12</v>
      </c>
      <c r="E366" s="2065"/>
      <c r="F366" s="2066"/>
      <c r="G366" s="2066"/>
      <c r="H366" s="2066"/>
      <c r="I366" s="2066"/>
      <c r="J366" s="2067"/>
      <c r="K366" s="2006" t="s">
        <v>82</v>
      </c>
      <c r="L366" s="2007"/>
      <c r="M366" s="2007"/>
      <c r="N366" s="2007"/>
      <c r="O366" s="2007"/>
      <c r="P366" s="2008"/>
      <c r="Q366" s="1931"/>
      <c r="R366" s="1876"/>
      <c r="S366" s="1876"/>
      <c r="T366" s="1876"/>
      <c r="U366" s="1876"/>
      <c r="V366" s="1877"/>
      <c r="W366" s="1931"/>
      <c r="X366" s="1876"/>
      <c r="Y366" s="1876"/>
      <c r="Z366" s="1876"/>
      <c r="AA366" s="1876"/>
      <c r="AB366" s="1877"/>
    </row>
    <row r="367" spans="1:28" ht="12.95" customHeight="1" x14ac:dyDescent="0.2">
      <c r="A367" s="8" t="s">
        <v>220</v>
      </c>
      <c r="B367" s="1925"/>
      <c r="C367" s="1925"/>
      <c r="D367" s="2064"/>
      <c r="E367" s="1945" t="s">
        <v>73</v>
      </c>
      <c r="F367" s="1946"/>
      <c r="G367" s="1946"/>
      <c r="H367" s="1946"/>
      <c r="I367" s="1946"/>
      <c r="J367" s="2321"/>
      <c r="K367" s="1871" t="s">
        <v>73</v>
      </c>
      <c r="L367" s="1872"/>
      <c r="M367" s="1872"/>
      <c r="N367" s="1876">
        <v>2784</v>
      </c>
      <c r="O367" s="1876"/>
      <c r="P367" s="1877"/>
      <c r="Q367" s="2106">
        <v>6727</v>
      </c>
      <c r="R367" s="1853"/>
      <c r="S367" s="1853"/>
      <c r="T367" s="1853"/>
      <c r="U367" s="1853"/>
      <c r="V367" s="1854"/>
      <c r="W367" s="1930">
        <f>SUM(W376:AB376)</f>
        <v>6991</v>
      </c>
      <c r="X367" s="1855"/>
      <c r="Y367" s="1855"/>
      <c r="Z367" s="1855"/>
      <c r="AA367" s="1855"/>
      <c r="AB367" s="1856"/>
    </row>
    <row r="368" spans="1:28" ht="12.95" customHeight="1" thickBot="1" x14ac:dyDescent="0.25">
      <c r="A368" s="8" t="s">
        <v>220</v>
      </c>
      <c r="B368" s="1925"/>
      <c r="C368" s="1925"/>
      <c r="D368" s="2064"/>
      <c r="E368" s="1945" t="s">
        <v>74</v>
      </c>
      <c r="F368" s="1946"/>
      <c r="G368" s="1946"/>
      <c r="H368" s="1946"/>
      <c r="I368" s="1946"/>
      <c r="J368" s="2321"/>
      <c r="K368" s="1871" t="s">
        <v>74</v>
      </c>
      <c r="L368" s="1872"/>
      <c r="M368" s="1872"/>
      <c r="N368" s="1876">
        <v>806</v>
      </c>
      <c r="O368" s="1876"/>
      <c r="P368" s="1877"/>
      <c r="Q368" s="2110">
        <v>3773</v>
      </c>
      <c r="R368" s="2024"/>
      <c r="S368" s="2024"/>
      <c r="T368" s="2024"/>
      <c r="U368" s="2024"/>
      <c r="V368" s="2111"/>
      <c r="W368" s="1970">
        <f>SUM(W377:AB377)</f>
        <v>5136</v>
      </c>
      <c r="X368" s="1971"/>
      <c r="Y368" s="1971"/>
      <c r="Z368" s="1971"/>
      <c r="AA368" s="1971"/>
      <c r="AB368" s="1972"/>
    </row>
    <row r="369" spans="1:28" ht="12.95" customHeight="1" thickBot="1" x14ac:dyDescent="0.25">
      <c r="A369" s="8" t="s">
        <v>220</v>
      </c>
      <c r="B369" s="1925"/>
      <c r="C369" s="1925"/>
      <c r="D369" s="731"/>
      <c r="E369" s="2319" t="s">
        <v>72</v>
      </c>
      <c r="F369" s="2320"/>
      <c r="G369" s="749"/>
      <c r="H369" s="2312">
        <v>3240</v>
      </c>
      <c r="I369" s="2312"/>
      <c r="J369" s="2313"/>
      <c r="K369" s="2314" t="s">
        <v>72</v>
      </c>
      <c r="L369" s="2315"/>
      <c r="M369" s="2315"/>
      <c r="N369" s="2412">
        <v>3590</v>
      </c>
      <c r="O369" s="2412"/>
      <c r="P369" s="2413"/>
      <c r="Q369" s="2393">
        <f>SUM(Q367:V368)</f>
        <v>10500</v>
      </c>
      <c r="R369" s="2327"/>
      <c r="S369" s="2327"/>
      <c r="T369" s="2327"/>
      <c r="U369" s="2327"/>
      <c r="V369" s="2328"/>
      <c r="W369" s="2414">
        <f>W367+W368</f>
        <v>12127</v>
      </c>
      <c r="X369" s="2415"/>
      <c r="Y369" s="2415"/>
      <c r="Z369" s="2415"/>
      <c r="AA369" s="2415"/>
      <c r="AB369" s="2416"/>
    </row>
    <row r="370" spans="1:28" ht="12.95" customHeight="1" x14ac:dyDescent="0.2">
      <c r="A370" s="8" t="s">
        <v>220</v>
      </c>
      <c r="B370" s="1925"/>
      <c r="C370" s="1925"/>
      <c r="D370" s="2063" t="s">
        <v>10</v>
      </c>
      <c r="E370" s="2006" t="s">
        <v>82</v>
      </c>
      <c r="F370" s="2007"/>
      <c r="G370" s="2007"/>
      <c r="H370" s="2007"/>
      <c r="I370" s="2007"/>
      <c r="J370" s="2008"/>
      <c r="K370" s="2006" t="s">
        <v>82</v>
      </c>
      <c r="L370" s="2007"/>
      <c r="M370" s="2007"/>
      <c r="N370" s="2007"/>
      <c r="O370" s="2007"/>
      <c r="P370" s="2008"/>
      <c r="Q370" s="1931"/>
      <c r="R370" s="1876"/>
      <c r="S370" s="1876"/>
      <c r="T370" s="1876"/>
      <c r="U370" s="1876"/>
      <c r="V370" s="1877"/>
      <c r="W370" s="1931"/>
      <c r="X370" s="1876"/>
      <c r="Y370" s="1876"/>
      <c r="Z370" s="1876"/>
      <c r="AA370" s="1876"/>
      <c r="AB370" s="1877"/>
    </row>
    <row r="371" spans="1:28" ht="12.95" customHeight="1" x14ac:dyDescent="0.2">
      <c r="A371" s="8" t="s">
        <v>220</v>
      </c>
      <c r="B371" s="1925"/>
      <c r="C371" s="1925"/>
      <c r="D371" s="2064"/>
      <c r="E371" s="1871" t="s">
        <v>73</v>
      </c>
      <c r="F371" s="1872"/>
      <c r="G371" s="1872"/>
      <c r="H371" s="1946"/>
      <c r="I371" s="1946"/>
      <c r="J371" s="2321"/>
      <c r="K371" s="1871" t="s">
        <v>120</v>
      </c>
      <c r="L371" s="1872"/>
      <c r="M371" s="1872"/>
      <c r="N371" s="1853">
        <v>6979</v>
      </c>
      <c r="O371" s="1853"/>
      <c r="P371" s="1854"/>
      <c r="Q371" s="2106">
        <f>SUM(Q380:V380)</f>
        <v>6984</v>
      </c>
      <c r="R371" s="1853"/>
      <c r="S371" s="1853"/>
      <c r="T371" s="1853"/>
      <c r="U371" s="1853"/>
      <c r="V371" s="1854"/>
      <c r="W371" s="1931">
        <f>SUM(W380:AB380)</f>
        <v>3596</v>
      </c>
      <c r="X371" s="1876"/>
      <c r="Y371" s="1876"/>
      <c r="Z371" s="1876"/>
      <c r="AA371" s="1876"/>
      <c r="AB371" s="1877"/>
    </row>
    <row r="372" spans="1:28" ht="12.95" customHeight="1" thickBot="1" x14ac:dyDescent="0.25">
      <c r="A372" s="8" t="s">
        <v>220</v>
      </c>
      <c r="B372" s="1925"/>
      <c r="C372" s="1925"/>
      <c r="D372" s="2064"/>
      <c r="E372" s="1871" t="s">
        <v>115</v>
      </c>
      <c r="F372" s="1872"/>
      <c r="G372" s="1872"/>
      <c r="H372" s="1946"/>
      <c r="I372" s="1946"/>
      <c r="J372" s="2321"/>
      <c r="K372" s="1871" t="s">
        <v>115</v>
      </c>
      <c r="L372" s="1872"/>
      <c r="M372" s="1872"/>
      <c r="N372" s="1853">
        <v>3463</v>
      </c>
      <c r="O372" s="1853"/>
      <c r="P372" s="1854"/>
      <c r="Q372" s="2110">
        <f>SUM(Q381:V381)</f>
        <v>4039</v>
      </c>
      <c r="R372" s="2024"/>
      <c r="S372" s="2024"/>
      <c r="T372" s="2024"/>
      <c r="U372" s="2024"/>
      <c r="V372" s="2111"/>
      <c r="W372" s="2132">
        <f>SUM(W381:AB381)</f>
        <v>9130</v>
      </c>
      <c r="X372" s="1969"/>
      <c r="Y372" s="1969"/>
      <c r="Z372" s="1969"/>
      <c r="AA372" s="1969"/>
      <c r="AB372" s="2133"/>
    </row>
    <row r="373" spans="1:28" ht="12.95" customHeight="1" thickBot="1" x14ac:dyDescent="0.25">
      <c r="A373" s="8" t="s">
        <v>220</v>
      </c>
      <c r="B373" s="1925"/>
      <c r="C373" s="1925"/>
      <c r="D373" s="752"/>
      <c r="E373" s="1871" t="s">
        <v>103</v>
      </c>
      <c r="F373" s="1872"/>
      <c r="G373" s="1872"/>
      <c r="H373" s="1872">
        <v>1047</v>
      </c>
      <c r="I373" s="1872"/>
      <c r="J373" s="1949"/>
      <c r="K373" s="1871" t="s">
        <v>103</v>
      </c>
      <c r="L373" s="1872"/>
      <c r="M373" s="1872"/>
      <c r="N373" s="1855">
        <f>N371+N372</f>
        <v>10442</v>
      </c>
      <c r="O373" s="1855"/>
      <c r="P373" s="1856"/>
      <c r="Q373" s="2393">
        <f>SUM(Q371:V372)</f>
        <v>11023</v>
      </c>
      <c r="R373" s="2327"/>
      <c r="S373" s="2327"/>
      <c r="T373" s="2327"/>
      <c r="U373" s="2327"/>
      <c r="V373" s="2328"/>
      <c r="W373" s="1931">
        <f>SUM(W371:AB372)</f>
        <v>12726</v>
      </c>
      <c r="X373" s="1876"/>
      <c r="Y373" s="1876"/>
      <c r="Z373" s="1876"/>
      <c r="AA373" s="1876"/>
      <c r="AB373" s="1877"/>
    </row>
    <row r="374" spans="1:28" ht="12.95" customHeight="1" thickBot="1" x14ac:dyDescent="0.25">
      <c r="A374" s="8" t="s">
        <v>221</v>
      </c>
      <c r="B374" s="1925"/>
      <c r="C374" s="1925"/>
      <c r="D374" s="752"/>
      <c r="E374" s="753" t="s">
        <v>18</v>
      </c>
      <c r="F374" s="753" t="s">
        <v>17</v>
      </c>
      <c r="G374" s="753" t="s">
        <v>16</v>
      </c>
      <c r="H374" s="753" t="s">
        <v>15</v>
      </c>
      <c r="I374" s="753" t="s">
        <v>14</v>
      </c>
      <c r="J374" s="753" t="s">
        <v>13</v>
      </c>
      <c r="K374" s="409" t="s">
        <v>18</v>
      </c>
      <c r="L374" s="409" t="s">
        <v>17</v>
      </c>
      <c r="M374" s="410" t="s">
        <v>16</v>
      </c>
      <c r="N374" s="409" t="s">
        <v>15</v>
      </c>
      <c r="O374" s="409" t="s">
        <v>14</v>
      </c>
      <c r="P374" s="409" t="s">
        <v>13</v>
      </c>
      <c r="Q374" s="411" t="s">
        <v>18</v>
      </c>
      <c r="R374" s="413" t="s">
        <v>17</v>
      </c>
      <c r="S374" s="413" t="s">
        <v>16</v>
      </c>
      <c r="T374" s="413" t="s">
        <v>15</v>
      </c>
      <c r="U374" s="413" t="s">
        <v>14</v>
      </c>
      <c r="V374" s="412" t="s">
        <v>13</v>
      </c>
      <c r="W374" s="632" t="s">
        <v>18</v>
      </c>
      <c r="X374" s="413" t="s">
        <v>17</v>
      </c>
      <c r="Y374" s="413" t="s">
        <v>16</v>
      </c>
      <c r="Z374" s="413" t="s">
        <v>15</v>
      </c>
      <c r="AA374" s="413" t="s">
        <v>14</v>
      </c>
      <c r="AB374" s="414" t="s">
        <v>13</v>
      </c>
    </row>
    <row r="375" spans="1:28" ht="12.95" customHeight="1" x14ac:dyDescent="0.2">
      <c r="A375" s="8" t="s">
        <v>221</v>
      </c>
      <c r="B375" s="1925"/>
      <c r="C375" s="1925"/>
      <c r="D375" s="717" t="s">
        <v>12</v>
      </c>
      <c r="E375" s="670"/>
      <c r="F375" s="671"/>
      <c r="G375" s="671"/>
      <c r="H375" s="671"/>
      <c r="I375" s="671"/>
      <c r="J375" s="672"/>
      <c r="K375" s="729"/>
      <c r="L375" s="730"/>
      <c r="M375" s="725"/>
      <c r="N375" s="725"/>
      <c r="O375" s="725"/>
      <c r="P375" s="726"/>
      <c r="Q375" s="498"/>
      <c r="R375" s="463"/>
      <c r="S375" s="463"/>
      <c r="T375" s="463"/>
      <c r="U375" s="463"/>
      <c r="V375" s="415"/>
      <c r="W375" s="497"/>
      <c r="X375" s="463"/>
      <c r="Y375" s="463"/>
      <c r="Z375" s="463"/>
      <c r="AA375" s="463"/>
      <c r="AB375" s="464"/>
    </row>
    <row r="376" spans="1:28" ht="12.95" customHeight="1" x14ac:dyDescent="0.2">
      <c r="A376" s="8" t="s">
        <v>221</v>
      </c>
      <c r="B376" s="1925"/>
      <c r="C376" s="1925"/>
      <c r="D376" s="416" t="s">
        <v>188</v>
      </c>
      <c r="E376" s="543"/>
      <c r="F376" s="541"/>
      <c r="G376" s="541"/>
      <c r="H376" s="541"/>
      <c r="I376" s="541"/>
      <c r="J376" s="673"/>
      <c r="K376" s="687">
        <v>208</v>
      </c>
      <c r="L376" s="688">
        <v>572</v>
      </c>
      <c r="M376" s="688">
        <v>644</v>
      </c>
      <c r="N376" s="688">
        <v>284</v>
      </c>
      <c r="O376" s="688">
        <v>446</v>
      </c>
      <c r="P376" s="689">
        <v>643</v>
      </c>
      <c r="Q376" s="417">
        <v>209</v>
      </c>
      <c r="R376" s="397">
        <v>491</v>
      </c>
      <c r="S376" s="397">
        <v>1132</v>
      </c>
      <c r="T376" s="397">
        <v>4511</v>
      </c>
      <c r="U376" s="397">
        <v>229</v>
      </c>
      <c r="V376" s="418">
        <v>155</v>
      </c>
      <c r="W376" s="421">
        <v>146</v>
      </c>
      <c r="X376" s="389">
        <v>262</v>
      </c>
      <c r="Y376" s="389">
        <v>1996</v>
      </c>
      <c r="Z376" s="389">
        <v>3897</v>
      </c>
      <c r="AA376" s="389">
        <v>599</v>
      </c>
      <c r="AB376" s="423">
        <v>91</v>
      </c>
    </row>
    <row r="377" spans="1:28" ht="12.95" customHeight="1" thickBot="1" x14ac:dyDescent="0.25">
      <c r="A377" s="8" t="s">
        <v>221</v>
      </c>
      <c r="B377" s="1925"/>
      <c r="C377" s="1925"/>
      <c r="D377" s="416" t="s">
        <v>189</v>
      </c>
      <c r="E377" s="674"/>
      <c r="F377" s="675"/>
      <c r="G377" s="675"/>
      <c r="H377" s="675"/>
      <c r="I377" s="675"/>
      <c r="J377" s="676"/>
      <c r="K377" s="687">
        <v>85</v>
      </c>
      <c r="L377" s="688">
        <v>139</v>
      </c>
      <c r="M377" s="688">
        <v>116</v>
      </c>
      <c r="N377" s="688">
        <v>218</v>
      </c>
      <c r="O377" s="688">
        <v>179</v>
      </c>
      <c r="P377" s="689">
        <v>70</v>
      </c>
      <c r="Q377" s="432">
        <v>317</v>
      </c>
      <c r="R377" s="433">
        <v>511</v>
      </c>
      <c r="S377" s="433">
        <v>663</v>
      </c>
      <c r="T377" s="433">
        <v>570</v>
      </c>
      <c r="U377" s="433">
        <v>860</v>
      </c>
      <c r="V377" s="434">
        <v>852</v>
      </c>
      <c r="W377" s="1319">
        <v>480</v>
      </c>
      <c r="X377" s="1320">
        <v>740</v>
      </c>
      <c r="Y377" s="1320">
        <v>930</v>
      </c>
      <c r="Z377" s="1320">
        <v>1184</v>
      </c>
      <c r="AA377" s="1320">
        <v>886</v>
      </c>
      <c r="AB377" s="1321">
        <v>916</v>
      </c>
    </row>
    <row r="378" spans="1:28" ht="12.95" customHeight="1" thickBot="1" x14ac:dyDescent="0.25">
      <c r="A378" s="8" t="s">
        <v>221</v>
      </c>
      <c r="B378" s="1925"/>
      <c r="C378" s="1925"/>
      <c r="D378" s="437" t="s">
        <v>68</v>
      </c>
      <c r="E378" s="759">
        <v>270</v>
      </c>
      <c r="F378" s="759">
        <v>344</v>
      </c>
      <c r="G378" s="759">
        <v>328</v>
      </c>
      <c r="H378" s="759">
        <v>616</v>
      </c>
      <c r="I378" s="759">
        <v>449</v>
      </c>
      <c r="J378" s="759">
        <v>408</v>
      </c>
      <c r="K378" s="615">
        <f>SUM(K376:K377)</f>
        <v>293</v>
      </c>
      <c r="L378" s="750">
        <f t="shared" ref="L378:P378" si="8">SUM(L376:L377)</f>
        <v>711</v>
      </c>
      <c r="M378" s="750">
        <f t="shared" si="8"/>
        <v>760</v>
      </c>
      <c r="N378" s="750">
        <f t="shared" si="8"/>
        <v>502</v>
      </c>
      <c r="O378" s="750">
        <f t="shared" si="8"/>
        <v>625</v>
      </c>
      <c r="P378" s="751">
        <f t="shared" si="8"/>
        <v>713</v>
      </c>
      <c r="Q378" s="438">
        <v>526</v>
      </c>
      <c r="R378" s="439">
        <v>1002</v>
      </c>
      <c r="S378" s="439">
        <v>1795</v>
      </c>
      <c r="T378" s="439">
        <v>5081</v>
      </c>
      <c r="U378" s="439">
        <f>SUM(U376:U377)</f>
        <v>1089</v>
      </c>
      <c r="V378" s="440">
        <v>1007</v>
      </c>
      <c r="W378" s="1395">
        <f>SUM(W376:W377)</f>
        <v>626</v>
      </c>
      <c r="X378" s="1395">
        <f t="shared" ref="X378:AB378" si="9">SUM(X376:X377)</f>
        <v>1002</v>
      </c>
      <c r="Y378" s="1395">
        <f t="shared" si="9"/>
        <v>2926</v>
      </c>
      <c r="Z378" s="1395">
        <f t="shared" si="9"/>
        <v>5081</v>
      </c>
      <c r="AA378" s="1395">
        <f t="shared" si="9"/>
        <v>1485</v>
      </c>
      <c r="AB378" s="1395">
        <f t="shared" si="9"/>
        <v>1007</v>
      </c>
    </row>
    <row r="379" spans="1:28" ht="12.95" customHeight="1" x14ac:dyDescent="0.2">
      <c r="A379" s="8" t="s">
        <v>221</v>
      </c>
      <c r="B379" s="1925"/>
      <c r="C379" s="1925"/>
      <c r="D379" s="752" t="s">
        <v>10</v>
      </c>
      <c r="E379" s="679"/>
      <c r="F379" s="677"/>
      <c r="G379" s="677"/>
      <c r="H379" s="677"/>
      <c r="I379" s="677"/>
      <c r="J379" s="677"/>
      <c r="K379" s="441"/>
      <c r="L379" s="442"/>
      <c r="M379" s="443"/>
      <c r="N379" s="443"/>
      <c r="O379" s="443"/>
      <c r="P379" s="444"/>
      <c r="Q379" s="688"/>
      <c r="R379" s="688"/>
      <c r="S379" s="688"/>
      <c r="T379" s="688"/>
      <c r="U379" s="688"/>
      <c r="V379" s="688"/>
      <c r="W379" s="687"/>
      <c r="X379" s="688"/>
      <c r="Y379" s="688"/>
      <c r="Z379" s="688"/>
      <c r="AA379" s="688"/>
      <c r="AB379" s="689"/>
    </row>
    <row r="380" spans="1:28" ht="12.95" customHeight="1" x14ac:dyDescent="0.2">
      <c r="A380" s="8" t="s">
        <v>221</v>
      </c>
      <c r="B380" s="1925"/>
      <c r="C380" s="1925"/>
      <c r="D380" s="416" t="s">
        <v>188</v>
      </c>
      <c r="E380" s="679"/>
      <c r="F380" s="677"/>
      <c r="G380" s="677"/>
      <c r="H380" s="677"/>
      <c r="I380" s="677"/>
      <c r="J380" s="677"/>
      <c r="K380" s="445">
        <v>440</v>
      </c>
      <c r="L380" s="446">
        <v>526</v>
      </c>
      <c r="M380" s="447">
        <v>1257</v>
      </c>
      <c r="N380" s="448">
        <v>4525</v>
      </c>
      <c r="O380" s="448">
        <v>51</v>
      </c>
      <c r="P380" s="449">
        <v>180</v>
      </c>
      <c r="Q380" s="1328">
        <v>175</v>
      </c>
      <c r="R380" s="1328">
        <v>273</v>
      </c>
      <c r="S380" s="1328">
        <v>1290</v>
      </c>
      <c r="T380" s="1328">
        <v>4521</v>
      </c>
      <c r="U380" s="1328">
        <v>624</v>
      </c>
      <c r="V380" s="1522">
        <v>101</v>
      </c>
      <c r="W380" s="426">
        <v>713</v>
      </c>
      <c r="X380" s="426">
        <v>23</v>
      </c>
      <c r="Y380" s="426">
        <v>1278</v>
      </c>
      <c r="Z380" s="426">
        <v>1208</v>
      </c>
      <c r="AA380" s="426">
        <v>310</v>
      </c>
      <c r="AB380" s="426">
        <v>64</v>
      </c>
    </row>
    <row r="381" spans="1:28" ht="12.95" customHeight="1" thickBot="1" x14ac:dyDescent="0.25">
      <c r="A381" s="8" t="s">
        <v>221</v>
      </c>
      <c r="B381" s="1925"/>
      <c r="C381" s="1925"/>
      <c r="D381" s="854" t="s">
        <v>189</v>
      </c>
      <c r="E381" s="972"/>
      <c r="F381" s="973"/>
      <c r="G381" s="973"/>
      <c r="H381" s="973"/>
      <c r="I381" s="973"/>
      <c r="J381" s="973"/>
      <c r="K381" s="450">
        <v>240</v>
      </c>
      <c r="L381" s="451">
        <v>476</v>
      </c>
      <c r="M381" s="452">
        <v>538</v>
      </c>
      <c r="N381" s="453">
        <v>556</v>
      </c>
      <c r="O381" s="453">
        <v>829</v>
      </c>
      <c r="P381" s="454">
        <v>824</v>
      </c>
      <c r="Q381" s="1328">
        <v>451</v>
      </c>
      <c r="R381" s="1328">
        <v>729</v>
      </c>
      <c r="S381" s="1328">
        <v>605</v>
      </c>
      <c r="T381" s="1328">
        <v>560</v>
      </c>
      <c r="U381" s="1328">
        <v>788</v>
      </c>
      <c r="V381" s="1522">
        <v>906</v>
      </c>
      <c r="W381" s="1523">
        <v>585</v>
      </c>
      <c r="X381" s="1523">
        <v>979</v>
      </c>
      <c r="Y381" s="1523">
        <v>1648</v>
      </c>
      <c r="Z381" s="1523">
        <v>3873</v>
      </c>
      <c r="AA381" s="1523">
        <v>1102</v>
      </c>
      <c r="AB381" s="1523">
        <v>943</v>
      </c>
    </row>
    <row r="382" spans="1:28" ht="12.95" customHeight="1" thickBot="1" x14ac:dyDescent="0.25">
      <c r="A382" s="8" t="s">
        <v>221</v>
      </c>
      <c r="B382" s="1925"/>
      <c r="C382" s="1925"/>
      <c r="D382" s="416" t="s">
        <v>68</v>
      </c>
      <c r="E382" s="679">
        <v>118</v>
      </c>
      <c r="F382" s="677">
        <v>186</v>
      </c>
      <c r="G382" s="677">
        <v>112</v>
      </c>
      <c r="H382" s="677">
        <v>312</v>
      </c>
      <c r="I382" s="677">
        <v>239</v>
      </c>
      <c r="J382" s="677" t="s">
        <v>956</v>
      </c>
      <c r="K382" s="445">
        <v>680</v>
      </c>
      <c r="L382" s="446">
        <v>1002</v>
      </c>
      <c r="M382" s="446">
        <v>1795</v>
      </c>
      <c r="N382" s="446">
        <v>5081</v>
      </c>
      <c r="O382" s="446">
        <v>880</v>
      </c>
      <c r="P382" s="455">
        <v>1004</v>
      </c>
      <c r="Q382" s="1252">
        <f>SUM(Q380:Q381)</f>
        <v>626</v>
      </c>
      <c r="R382" s="1251">
        <f t="shared" ref="R382:V382" si="10">SUM(R380:R381)</f>
        <v>1002</v>
      </c>
      <c r="S382" s="1251">
        <f t="shared" si="10"/>
        <v>1895</v>
      </c>
      <c r="T382" s="1251">
        <f t="shared" si="10"/>
        <v>5081</v>
      </c>
      <c r="U382" s="1251">
        <f t="shared" si="10"/>
        <v>1412</v>
      </c>
      <c r="V382" s="1250">
        <f t="shared" si="10"/>
        <v>1007</v>
      </c>
      <c r="W382" s="1315">
        <f>SUM(W380:W381)</f>
        <v>1298</v>
      </c>
      <c r="X382" s="1315">
        <f t="shared" ref="X382:AB382" si="11">SUM(X380:X381)</f>
        <v>1002</v>
      </c>
      <c r="Y382" s="1315">
        <f t="shared" si="11"/>
        <v>2926</v>
      </c>
      <c r="Z382" s="1315">
        <f t="shared" si="11"/>
        <v>5081</v>
      </c>
      <c r="AA382" s="1315">
        <f t="shared" si="11"/>
        <v>1412</v>
      </c>
      <c r="AB382" s="1524">
        <f t="shared" si="11"/>
        <v>1007</v>
      </c>
    </row>
    <row r="383" spans="1:28" ht="12.95" customHeight="1" thickBot="1" x14ac:dyDescent="0.25">
      <c r="A383" s="8" t="s">
        <v>220</v>
      </c>
      <c r="B383" s="1925"/>
      <c r="C383" s="2331"/>
      <c r="D383" s="2333" t="s">
        <v>7</v>
      </c>
      <c r="E383" s="2334"/>
      <c r="F383" s="2334"/>
      <c r="G383" s="2334"/>
      <c r="H383" s="2334"/>
      <c r="I383" s="2334"/>
      <c r="J383" s="2334"/>
      <c r="K383" s="2334"/>
      <c r="L383" s="2334"/>
      <c r="M383" s="2334"/>
      <c r="N383" s="2334"/>
      <c r="O383" s="2334"/>
      <c r="P383" s="2334"/>
      <c r="Q383" s="2334"/>
      <c r="R383" s="2334"/>
      <c r="S383" s="2334"/>
      <c r="T383" s="2334"/>
      <c r="U383" s="2334"/>
      <c r="V383" s="2334"/>
      <c r="W383" s="2334"/>
      <c r="X383" s="2334"/>
      <c r="Y383" s="2334"/>
      <c r="Z383" s="2334"/>
      <c r="AA383" s="2334"/>
      <c r="AB383" s="2335"/>
    </row>
    <row r="384" spans="1:28" ht="12.95" customHeight="1" thickBot="1" x14ac:dyDescent="0.25">
      <c r="A384" s="8" t="s">
        <v>220</v>
      </c>
      <c r="B384" s="1925"/>
      <c r="C384" s="2332"/>
      <c r="D384" s="1894" t="s">
        <v>228</v>
      </c>
      <c r="E384" s="1895"/>
      <c r="F384" s="1895"/>
      <c r="G384" s="1895"/>
      <c r="H384" s="1895"/>
      <c r="I384" s="1895"/>
      <c r="J384" s="1895"/>
      <c r="K384" s="1895"/>
      <c r="L384" s="1895"/>
      <c r="M384" s="1895"/>
      <c r="N384" s="1895"/>
      <c r="O384" s="1895"/>
      <c r="P384" s="1895"/>
      <c r="Q384" s="1895"/>
      <c r="R384" s="1895"/>
      <c r="S384" s="1895"/>
      <c r="T384" s="1895"/>
      <c r="U384" s="1895"/>
      <c r="V384" s="1895"/>
      <c r="W384" s="1895"/>
      <c r="X384" s="1895"/>
      <c r="Y384" s="1895"/>
      <c r="Z384" s="1895"/>
      <c r="AA384" s="1895"/>
      <c r="AB384" s="1896"/>
    </row>
    <row r="385" spans="1:28" ht="12.95" customHeight="1" thickBot="1" x14ac:dyDescent="0.25">
      <c r="A385" s="8" t="s">
        <v>220</v>
      </c>
      <c r="B385" s="1925"/>
      <c r="C385" s="974" t="s">
        <v>186</v>
      </c>
      <c r="D385" s="975"/>
      <c r="E385" s="1878" t="s">
        <v>838</v>
      </c>
      <c r="F385" s="1883"/>
      <c r="G385" s="1883"/>
      <c r="H385" s="1883"/>
      <c r="I385" s="1883"/>
      <c r="J385" s="1884"/>
      <c r="K385" s="1878" t="s">
        <v>327</v>
      </c>
      <c r="L385" s="1879"/>
      <c r="M385" s="1879"/>
      <c r="N385" s="1879"/>
      <c r="O385" s="1879"/>
      <c r="P385" s="1880"/>
      <c r="Q385" s="2058" t="s">
        <v>163</v>
      </c>
      <c r="R385" s="2059"/>
      <c r="S385" s="2059"/>
      <c r="T385" s="2059"/>
      <c r="U385" s="2059"/>
      <c r="V385" s="2060"/>
      <c r="W385" s="1881" t="s">
        <v>162</v>
      </c>
      <c r="X385" s="1882"/>
      <c r="Y385" s="1882"/>
      <c r="Z385" s="1882"/>
      <c r="AA385" s="1882"/>
      <c r="AB385" s="1947"/>
    </row>
    <row r="386" spans="1:28" ht="12.95" customHeight="1" x14ac:dyDescent="0.2">
      <c r="A386" s="8" t="s">
        <v>220</v>
      </c>
      <c r="B386" s="1925"/>
      <c r="C386" s="2057" t="s">
        <v>381</v>
      </c>
      <c r="D386" s="2063" t="s">
        <v>12</v>
      </c>
      <c r="E386" s="2104" t="s">
        <v>82</v>
      </c>
      <c r="F386" s="2105"/>
      <c r="G386" s="536"/>
      <c r="H386" s="757"/>
      <c r="I386" s="536"/>
      <c r="J386" s="976"/>
      <c r="K386" s="2006" t="s">
        <v>82</v>
      </c>
      <c r="L386" s="2007"/>
      <c r="M386" s="2007"/>
      <c r="N386" s="2007"/>
      <c r="O386" s="2007"/>
      <c r="P386" s="2008"/>
      <c r="Q386" s="1931"/>
      <c r="R386" s="1876"/>
      <c r="S386" s="1876"/>
      <c r="T386" s="1876"/>
      <c r="U386" s="1876"/>
      <c r="V386" s="1877"/>
      <c r="W386" s="1931"/>
      <c r="X386" s="1876"/>
      <c r="Y386" s="1876"/>
      <c r="Z386" s="1876"/>
      <c r="AA386" s="1876"/>
      <c r="AB386" s="1877"/>
    </row>
    <row r="387" spans="1:28" ht="12.95" customHeight="1" x14ac:dyDescent="0.2">
      <c r="A387" s="8" t="s">
        <v>220</v>
      </c>
      <c r="B387" s="1925"/>
      <c r="C387" s="1925"/>
      <c r="D387" s="2064"/>
      <c r="E387" s="2065" t="s">
        <v>73</v>
      </c>
      <c r="F387" s="2066"/>
      <c r="G387" s="2066"/>
      <c r="H387" s="2066"/>
      <c r="I387" s="2066"/>
      <c r="J387" s="2067"/>
      <c r="K387" s="1871" t="s">
        <v>73</v>
      </c>
      <c r="L387" s="1872"/>
      <c r="M387" s="1872"/>
      <c r="N387" s="1855">
        <v>2551</v>
      </c>
      <c r="O387" s="1855"/>
      <c r="P387" s="1856"/>
      <c r="Q387" s="2106">
        <v>7063</v>
      </c>
      <c r="R387" s="1853"/>
      <c r="S387" s="1853"/>
      <c r="T387" s="1853"/>
      <c r="U387" s="1853"/>
      <c r="V387" s="1854"/>
      <c r="W387" s="1930">
        <f>SUM(W396:AB396)</f>
        <v>7620</v>
      </c>
      <c r="X387" s="1855"/>
      <c r="Y387" s="1855"/>
      <c r="Z387" s="1855"/>
      <c r="AA387" s="1855"/>
      <c r="AB387" s="1856"/>
    </row>
    <row r="388" spans="1:28" ht="12.95" customHeight="1" thickBot="1" x14ac:dyDescent="0.25">
      <c r="A388" s="8" t="s">
        <v>220</v>
      </c>
      <c r="B388" s="1925"/>
      <c r="C388" s="1925"/>
      <c r="D388" s="2064"/>
      <c r="E388" s="2118" t="s">
        <v>74</v>
      </c>
      <c r="F388" s="2119"/>
      <c r="G388" s="2119"/>
      <c r="H388" s="2119"/>
      <c r="I388" s="2119"/>
      <c r="J388" s="2120"/>
      <c r="K388" s="1910" t="s">
        <v>74</v>
      </c>
      <c r="L388" s="1911"/>
      <c r="M388" s="1911"/>
      <c r="N388" s="1971">
        <v>748</v>
      </c>
      <c r="O388" s="1971"/>
      <c r="P388" s="1972"/>
      <c r="Q388" s="2110">
        <v>3437</v>
      </c>
      <c r="R388" s="2024"/>
      <c r="S388" s="2024"/>
      <c r="T388" s="2024"/>
      <c r="U388" s="2024"/>
      <c r="V388" s="2111"/>
      <c r="W388" s="1930">
        <f>SUM(W397:AB397)</f>
        <v>4507</v>
      </c>
      <c r="X388" s="1855"/>
      <c r="Y388" s="1855"/>
      <c r="Z388" s="1855"/>
      <c r="AA388" s="1855"/>
      <c r="AB388" s="1856"/>
    </row>
    <row r="389" spans="1:28" ht="12.95" customHeight="1" thickBot="1" x14ac:dyDescent="0.25">
      <c r="A389" s="8" t="s">
        <v>220</v>
      </c>
      <c r="B389" s="1925"/>
      <c r="C389" s="1925"/>
      <c r="D389" s="731"/>
      <c r="E389" s="2065" t="s">
        <v>72</v>
      </c>
      <c r="F389" s="2066"/>
      <c r="G389" s="2066"/>
      <c r="H389" s="2066">
        <v>2592</v>
      </c>
      <c r="I389" s="2066"/>
      <c r="J389" s="2067"/>
      <c r="K389" s="1871" t="s">
        <v>72</v>
      </c>
      <c r="L389" s="1872"/>
      <c r="M389" s="1872"/>
      <c r="N389" s="1855">
        <v>3299</v>
      </c>
      <c r="O389" s="1855"/>
      <c r="P389" s="1856"/>
      <c r="Q389" s="2106">
        <f>SUM(Q387:V388)</f>
        <v>10500</v>
      </c>
      <c r="R389" s="1853"/>
      <c r="S389" s="1853"/>
      <c r="T389" s="1853"/>
      <c r="U389" s="1853"/>
      <c r="V389" s="1854"/>
      <c r="W389" s="1930">
        <v>12127</v>
      </c>
      <c r="X389" s="1855"/>
      <c r="Y389" s="1855"/>
      <c r="Z389" s="1855"/>
      <c r="AA389" s="1855"/>
      <c r="AB389" s="1856"/>
    </row>
    <row r="390" spans="1:28" ht="12.95" customHeight="1" x14ac:dyDescent="0.2">
      <c r="A390" s="8" t="s">
        <v>220</v>
      </c>
      <c r="B390" s="1925"/>
      <c r="C390" s="1925"/>
      <c r="D390" s="2063" t="s">
        <v>10</v>
      </c>
      <c r="E390" s="2104" t="s">
        <v>82</v>
      </c>
      <c r="F390" s="2105"/>
      <c r="G390" s="2105"/>
      <c r="H390" s="2105"/>
      <c r="I390" s="2105"/>
      <c r="J390" s="2336"/>
      <c r="K390" s="2006" t="s">
        <v>82</v>
      </c>
      <c r="L390" s="2007"/>
      <c r="M390" s="2007"/>
      <c r="N390" s="2007"/>
      <c r="O390" s="2007"/>
      <c r="P390" s="2008"/>
      <c r="Q390" s="1964"/>
      <c r="R390" s="1965"/>
      <c r="S390" s="1965"/>
      <c r="T390" s="1965"/>
      <c r="U390" s="1965"/>
      <c r="V390" s="2097"/>
      <c r="W390" s="1964"/>
      <c r="X390" s="1965"/>
      <c r="Y390" s="1965"/>
      <c r="Z390" s="1965"/>
      <c r="AA390" s="1965"/>
      <c r="AB390" s="2097"/>
    </row>
    <row r="391" spans="1:28" ht="12.95" customHeight="1" x14ac:dyDescent="0.2">
      <c r="A391" s="8" t="s">
        <v>220</v>
      </c>
      <c r="B391" s="1925"/>
      <c r="C391" s="1925"/>
      <c r="D391" s="2064"/>
      <c r="E391" s="2065" t="s">
        <v>73</v>
      </c>
      <c r="F391" s="2066"/>
      <c r="G391" s="2066"/>
      <c r="H391" s="2066"/>
      <c r="I391" s="2066"/>
      <c r="J391" s="2067"/>
      <c r="K391" s="1871" t="s">
        <v>120</v>
      </c>
      <c r="L391" s="1872"/>
      <c r="M391" s="1872"/>
      <c r="N391" s="1855">
        <v>7332</v>
      </c>
      <c r="O391" s="1855"/>
      <c r="P391" s="1856"/>
      <c r="Q391" s="2381">
        <f>SUM(Q400:V400)</f>
        <v>7248</v>
      </c>
      <c r="R391" s="2382"/>
      <c r="S391" s="2382"/>
      <c r="T391" s="2382"/>
      <c r="U391" s="2382"/>
      <c r="V391" s="2383"/>
      <c r="W391" s="1931">
        <f>SUM(W400:AB400)</f>
        <v>4767</v>
      </c>
      <c r="X391" s="1876"/>
      <c r="Y391" s="1876"/>
      <c r="Z391" s="1876"/>
      <c r="AA391" s="1876"/>
      <c r="AB391" s="1877"/>
    </row>
    <row r="392" spans="1:28" ht="12.95" customHeight="1" thickBot="1" x14ac:dyDescent="0.25">
      <c r="A392" s="8" t="s">
        <v>220</v>
      </c>
      <c r="B392" s="1925"/>
      <c r="C392" s="1925"/>
      <c r="D392" s="2064"/>
      <c r="E392" s="2118" t="s">
        <v>115</v>
      </c>
      <c r="F392" s="2119"/>
      <c r="G392" s="2119"/>
      <c r="H392" s="2119"/>
      <c r="I392" s="2119"/>
      <c r="J392" s="2120"/>
      <c r="K392" s="1910" t="s">
        <v>115</v>
      </c>
      <c r="L392" s="1911"/>
      <c r="M392" s="1911"/>
      <c r="N392" s="1971">
        <v>3110</v>
      </c>
      <c r="O392" s="1971"/>
      <c r="P392" s="1972"/>
      <c r="Q392" s="2132">
        <f>SUM(Q401:V401)</f>
        <v>3775</v>
      </c>
      <c r="R392" s="1969"/>
      <c r="S392" s="1969"/>
      <c r="T392" s="1969"/>
      <c r="U392" s="1969"/>
      <c r="V392" s="2133"/>
      <c r="W392" s="2132">
        <f>SUM(W401:AB401)</f>
        <v>7959</v>
      </c>
      <c r="X392" s="1969"/>
      <c r="Y392" s="1969"/>
      <c r="Z392" s="1969"/>
      <c r="AA392" s="1969"/>
      <c r="AB392" s="2133"/>
    </row>
    <row r="393" spans="1:28" ht="12.95" customHeight="1" thickBot="1" x14ac:dyDescent="0.25">
      <c r="A393" s="8" t="s">
        <v>220</v>
      </c>
      <c r="B393" s="1925"/>
      <c r="C393" s="1925"/>
      <c r="D393" s="752"/>
      <c r="E393" s="1871" t="s">
        <v>103</v>
      </c>
      <c r="F393" s="1872"/>
      <c r="G393" s="1872"/>
      <c r="H393" s="1872">
        <v>882</v>
      </c>
      <c r="I393" s="1872"/>
      <c r="J393" s="1949"/>
      <c r="K393" s="1871" t="s">
        <v>103</v>
      </c>
      <c r="L393" s="1872"/>
      <c r="M393" s="1872"/>
      <c r="N393" s="1855">
        <v>10442</v>
      </c>
      <c r="O393" s="1855"/>
      <c r="P393" s="1856"/>
      <c r="Q393" s="1931">
        <f>Q391+Q392</f>
        <v>11023</v>
      </c>
      <c r="R393" s="1876"/>
      <c r="S393" s="1876"/>
      <c r="T393" s="1876"/>
      <c r="U393" s="1876"/>
      <c r="V393" s="1877"/>
      <c r="W393" s="1931">
        <f>SUM(W391:AB392)</f>
        <v>12726</v>
      </c>
      <c r="X393" s="1876"/>
      <c r="Y393" s="1876"/>
      <c r="Z393" s="1876"/>
      <c r="AA393" s="1876"/>
      <c r="AB393" s="1877"/>
    </row>
    <row r="394" spans="1:28" ht="12.95" customHeight="1" thickBot="1" x14ac:dyDescent="0.25">
      <c r="A394" s="8" t="s">
        <v>221</v>
      </c>
      <c r="B394" s="1925"/>
      <c r="C394" s="1925"/>
      <c r="D394" s="752"/>
      <c r="E394" s="753" t="s">
        <v>18</v>
      </c>
      <c r="F394" s="753" t="s">
        <v>17</v>
      </c>
      <c r="G394" s="753" t="s">
        <v>16</v>
      </c>
      <c r="H394" s="753" t="s">
        <v>15</v>
      </c>
      <c r="I394" s="753" t="s">
        <v>14</v>
      </c>
      <c r="J394" s="753" t="s">
        <v>13</v>
      </c>
      <c r="K394" s="409" t="s">
        <v>18</v>
      </c>
      <c r="L394" s="409" t="s">
        <v>17</v>
      </c>
      <c r="M394" s="410" t="s">
        <v>16</v>
      </c>
      <c r="N394" s="409" t="s">
        <v>15</v>
      </c>
      <c r="O394" s="409" t="s">
        <v>14</v>
      </c>
      <c r="P394" s="409" t="s">
        <v>13</v>
      </c>
      <c r="Q394" s="411" t="s">
        <v>18</v>
      </c>
      <c r="R394" s="413" t="s">
        <v>17</v>
      </c>
      <c r="S394" s="413" t="s">
        <v>16</v>
      </c>
      <c r="T394" s="413" t="s">
        <v>15</v>
      </c>
      <c r="U394" s="413" t="s">
        <v>14</v>
      </c>
      <c r="V394" s="412" t="s">
        <v>13</v>
      </c>
      <c r="W394" s="632" t="s">
        <v>18</v>
      </c>
      <c r="X394" s="413" t="s">
        <v>17</v>
      </c>
      <c r="Y394" s="413" t="s">
        <v>16</v>
      </c>
      <c r="Z394" s="413" t="s">
        <v>15</v>
      </c>
      <c r="AA394" s="413" t="s">
        <v>14</v>
      </c>
      <c r="AB394" s="414" t="s">
        <v>13</v>
      </c>
    </row>
    <row r="395" spans="1:28" ht="12.95" customHeight="1" x14ac:dyDescent="0.2">
      <c r="A395" s="8" t="s">
        <v>221</v>
      </c>
      <c r="B395" s="1925"/>
      <c r="C395" s="1925"/>
      <c r="D395" s="717" t="s">
        <v>12</v>
      </c>
      <c r="E395" s="670"/>
      <c r="F395" s="671"/>
      <c r="G395" s="671"/>
      <c r="H395" s="671"/>
      <c r="I395" s="671"/>
      <c r="J395" s="671"/>
      <c r="K395" s="670"/>
      <c r="L395" s="671"/>
      <c r="M395" s="671"/>
      <c r="N395" s="671"/>
      <c r="O395" s="671"/>
      <c r="P395" s="672"/>
      <c r="Q395" s="498"/>
      <c r="R395" s="463"/>
      <c r="S395" s="463"/>
      <c r="T395" s="463"/>
      <c r="U395" s="463"/>
      <c r="V395" s="415"/>
      <c r="W395" s="497"/>
      <c r="X395" s="463"/>
      <c r="Y395" s="463"/>
      <c r="Z395" s="463"/>
      <c r="AA395" s="463"/>
      <c r="AB395" s="464"/>
    </row>
    <row r="396" spans="1:28" ht="12.95" customHeight="1" x14ac:dyDescent="0.2">
      <c r="A396" s="8" t="s">
        <v>221</v>
      </c>
      <c r="B396" s="1925"/>
      <c r="C396" s="1925"/>
      <c r="D396" s="416" t="s">
        <v>188</v>
      </c>
      <c r="E396" s="543"/>
      <c r="F396" s="541"/>
      <c r="G396" s="541"/>
      <c r="H396" s="541"/>
      <c r="I396" s="541"/>
      <c r="J396" s="541"/>
      <c r="K396" s="679">
        <v>190</v>
      </c>
      <c r="L396" s="677">
        <v>523</v>
      </c>
      <c r="M396" s="677">
        <v>588</v>
      </c>
      <c r="N396" s="677">
        <v>257</v>
      </c>
      <c r="O396" s="677">
        <v>406</v>
      </c>
      <c r="P396" s="682">
        <v>588</v>
      </c>
      <c r="Q396" s="417">
        <v>221</v>
      </c>
      <c r="R396" s="397">
        <v>551</v>
      </c>
      <c r="S396" s="397">
        <v>1238</v>
      </c>
      <c r="T396" s="397">
        <v>4609</v>
      </c>
      <c r="U396" s="397">
        <v>289</v>
      </c>
      <c r="V396" s="418">
        <v>155</v>
      </c>
      <c r="W396" s="419">
        <v>156</v>
      </c>
      <c r="X396" s="397">
        <v>304</v>
      </c>
      <c r="Y396" s="397">
        <v>2249</v>
      </c>
      <c r="Z396" s="397">
        <v>4141</v>
      </c>
      <c r="AA396" s="397">
        <v>669</v>
      </c>
      <c r="AB396" s="420">
        <v>101</v>
      </c>
    </row>
    <row r="397" spans="1:28" ht="12.95" customHeight="1" thickBot="1" x14ac:dyDescent="0.25">
      <c r="A397" s="8" t="s">
        <v>221</v>
      </c>
      <c r="B397" s="1925"/>
      <c r="C397" s="1925"/>
      <c r="D397" s="854" t="s">
        <v>189</v>
      </c>
      <c r="E397" s="674"/>
      <c r="F397" s="675"/>
      <c r="G397" s="675"/>
      <c r="H397" s="675"/>
      <c r="I397" s="675"/>
      <c r="J397" s="675"/>
      <c r="K397" s="679">
        <v>79</v>
      </c>
      <c r="L397" s="677">
        <v>129</v>
      </c>
      <c r="M397" s="677">
        <v>107</v>
      </c>
      <c r="N397" s="677">
        <v>203</v>
      </c>
      <c r="O397" s="677">
        <v>166</v>
      </c>
      <c r="P397" s="682">
        <v>65</v>
      </c>
      <c r="Q397" s="680">
        <v>305</v>
      </c>
      <c r="R397" s="430">
        <v>451</v>
      </c>
      <c r="S397" s="430">
        <v>557</v>
      </c>
      <c r="T397" s="430">
        <v>472</v>
      </c>
      <c r="U397" s="430">
        <v>800</v>
      </c>
      <c r="V397" s="457">
        <v>852</v>
      </c>
      <c r="W397" s="1396">
        <v>470</v>
      </c>
      <c r="X397" s="424">
        <v>698</v>
      </c>
      <c r="Y397" s="430">
        <v>677</v>
      </c>
      <c r="Z397" s="430">
        <v>940</v>
      </c>
      <c r="AA397" s="430">
        <v>816</v>
      </c>
      <c r="AB397" s="431">
        <v>906</v>
      </c>
    </row>
    <row r="398" spans="1:28" ht="12.95" customHeight="1" thickBot="1" x14ac:dyDescent="0.25">
      <c r="A398" s="8" t="s">
        <v>221</v>
      </c>
      <c r="B398" s="1925"/>
      <c r="C398" s="1925"/>
      <c r="D398" s="416" t="s">
        <v>68</v>
      </c>
      <c r="E398" s="678">
        <v>220</v>
      </c>
      <c r="F398" s="759">
        <v>277</v>
      </c>
      <c r="G398" s="759">
        <v>266</v>
      </c>
      <c r="H398" s="759">
        <v>501</v>
      </c>
      <c r="I398" s="759">
        <v>365</v>
      </c>
      <c r="J398" s="759">
        <v>33</v>
      </c>
      <c r="K398" s="678">
        <f>SUM(K396:K397)</f>
        <v>269</v>
      </c>
      <c r="L398" s="759">
        <f t="shared" ref="L398:P398" si="12">SUM(L396:L397)</f>
        <v>652</v>
      </c>
      <c r="M398" s="759">
        <f t="shared" si="12"/>
        <v>695</v>
      </c>
      <c r="N398" s="759">
        <f t="shared" si="12"/>
        <v>460</v>
      </c>
      <c r="O398" s="759">
        <f t="shared" si="12"/>
        <v>572</v>
      </c>
      <c r="P398" s="760">
        <f t="shared" si="12"/>
        <v>653</v>
      </c>
      <c r="Q398" s="681">
        <v>526</v>
      </c>
      <c r="R398" s="459">
        <v>1002</v>
      </c>
      <c r="S398" s="459">
        <v>1795</v>
      </c>
      <c r="T398" s="459">
        <v>5081</v>
      </c>
      <c r="U398" s="459">
        <f>SUM(U396:U397)</f>
        <v>1089</v>
      </c>
      <c r="V398" s="460">
        <v>1007</v>
      </c>
      <c r="W398" s="458">
        <f>SUM(W396:W397)</f>
        <v>626</v>
      </c>
      <c r="X398" s="458">
        <f t="shared" ref="X398:AB398" si="13">SUM(X396:X397)</f>
        <v>1002</v>
      </c>
      <c r="Y398" s="458">
        <f t="shared" si="13"/>
        <v>2926</v>
      </c>
      <c r="Z398" s="458">
        <f t="shared" si="13"/>
        <v>5081</v>
      </c>
      <c r="AA398" s="458">
        <f t="shared" si="13"/>
        <v>1485</v>
      </c>
      <c r="AB398" s="458">
        <f t="shared" si="13"/>
        <v>1007</v>
      </c>
    </row>
    <row r="399" spans="1:28" ht="12.95" customHeight="1" x14ac:dyDescent="0.2">
      <c r="A399" s="8" t="s">
        <v>221</v>
      </c>
      <c r="B399" s="1925"/>
      <c r="C399" s="1925"/>
      <c r="D399" s="717" t="s">
        <v>10</v>
      </c>
      <c r="E399" s="977"/>
      <c r="F399" s="978"/>
      <c r="G399" s="978"/>
      <c r="H399" s="978"/>
      <c r="I399" s="978"/>
      <c r="J399" s="978"/>
      <c r="K399" s="441"/>
      <c r="L399" s="442"/>
      <c r="M399" s="443"/>
      <c r="N399" s="443"/>
      <c r="O399" s="443"/>
      <c r="P399" s="444"/>
      <c r="Q399" s="724"/>
      <c r="R399" s="725"/>
      <c r="S399" s="725"/>
      <c r="T399" s="725"/>
      <c r="U399" s="725"/>
      <c r="V399" s="725"/>
      <c r="W399" s="724"/>
      <c r="X399" s="725"/>
      <c r="Y399" s="725"/>
      <c r="Z399" s="725"/>
      <c r="AA399" s="725"/>
      <c r="AB399" s="726"/>
    </row>
    <row r="400" spans="1:28" ht="12.95" customHeight="1" x14ac:dyDescent="0.2">
      <c r="A400" s="8" t="s">
        <v>221</v>
      </c>
      <c r="B400" s="1925"/>
      <c r="C400" s="1925"/>
      <c r="D400" s="416" t="s">
        <v>188</v>
      </c>
      <c r="E400" s="679"/>
      <c r="F400" s="677"/>
      <c r="G400" s="677"/>
      <c r="H400" s="677"/>
      <c r="I400" s="677"/>
      <c r="J400" s="677"/>
      <c r="K400" s="419">
        <v>525</v>
      </c>
      <c r="L400" s="397">
        <v>568</v>
      </c>
      <c r="M400" s="397">
        <v>1311</v>
      </c>
      <c r="N400" s="397">
        <v>4627</v>
      </c>
      <c r="O400" s="397">
        <v>120</v>
      </c>
      <c r="P400" s="420">
        <v>181</v>
      </c>
      <c r="Q400" s="1326">
        <v>190</v>
      </c>
      <c r="R400" s="1327">
        <v>314</v>
      </c>
      <c r="S400" s="1327">
        <v>1301</v>
      </c>
      <c r="T400" s="1327">
        <v>4608</v>
      </c>
      <c r="U400" s="1327">
        <v>727</v>
      </c>
      <c r="V400" s="1327">
        <v>108</v>
      </c>
      <c r="W400" s="687">
        <v>709</v>
      </c>
      <c r="X400" s="688">
        <v>63</v>
      </c>
      <c r="Y400" s="688">
        <v>1989</v>
      </c>
      <c r="Z400" s="688">
        <v>1470</v>
      </c>
      <c r="AA400" s="688">
        <v>467</v>
      </c>
      <c r="AB400" s="689">
        <v>69</v>
      </c>
    </row>
    <row r="401" spans="1:28" ht="12.95" customHeight="1" thickBot="1" x14ac:dyDescent="0.25">
      <c r="A401" s="8" t="s">
        <v>221</v>
      </c>
      <c r="B401" s="1925"/>
      <c r="C401" s="1925"/>
      <c r="D401" s="854" t="s">
        <v>189</v>
      </c>
      <c r="E401" s="972"/>
      <c r="F401" s="973"/>
      <c r="G401" s="973"/>
      <c r="H401" s="973"/>
      <c r="I401" s="973"/>
      <c r="J401" s="973"/>
      <c r="K401" s="435">
        <v>155</v>
      </c>
      <c r="L401" s="433">
        <v>434</v>
      </c>
      <c r="M401" s="433">
        <v>484</v>
      </c>
      <c r="N401" s="433">
        <v>454</v>
      </c>
      <c r="O401" s="433">
        <v>760</v>
      </c>
      <c r="P401" s="436">
        <v>823</v>
      </c>
      <c r="Q401" s="1329">
        <v>436</v>
      </c>
      <c r="R401" s="1330">
        <v>688</v>
      </c>
      <c r="S401" s="1330">
        <v>594</v>
      </c>
      <c r="T401" s="1330">
        <v>473</v>
      </c>
      <c r="U401" s="1330">
        <v>685</v>
      </c>
      <c r="V401" s="1330">
        <v>899</v>
      </c>
      <c r="W401" s="694">
        <v>589</v>
      </c>
      <c r="X401" s="695">
        <v>939</v>
      </c>
      <c r="Y401" s="695">
        <v>937</v>
      </c>
      <c r="Z401" s="695">
        <v>3611</v>
      </c>
      <c r="AA401" s="695">
        <v>945</v>
      </c>
      <c r="AB401" s="696">
        <v>938</v>
      </c>
    </row>
    <row r="402" spans="1:28" ht="12.95" customHeight="1" thickBot="1" x14ac:dyDescent="0.25">
      <c r="A402" s="8" t="s">
        <v>221</v>
      </c>
      <c r="B402" s="1925"/>
      <c r="C402" s="1925"/>
      <c r="D402" s="416" t="s">
        <v>68</v>
      </c>
      <c r="E402" s="679">
        <v>110</v>
      </c>
      <c r="F402" s="677">
        <v>171</v>
      </c>
      <c r="G402" s="677">
        <v>95</v>
      </c>
      <c r="H402" s="677">
        <v>290</v>
      </c>
      <c r="I402" s="677">
        <v>216</v>
      </c>
      <c r="J402" s="677" t="s">
        <v>956</v>
      </c>
      <c r="K402" s="465">
        <v>680</v>
      </c>
      <c r="L402" s="466">
        <v>1002</v>
      </c>
      <c r="M402" s="466">
        <v>1795</v>
      </c>
      <c r="N402" s="466">
        <v>5081</v>
      </c>
      <c r="O402" s="466">
        <v>880</v>
      </c>
      <c r="P402" s="467">
        <v>1004</v>
      </c>
      <c r="Q402" s="681">
        <f>SUM(Q400:Q401)</f>
        <v>626</v>
      </c>
      <c r="R402" s="459">
        <f t="shared" ref="R402:V402" si="14">SUM(R400:R401)</f>
        <v>1002</v>
      </c>
      <c r="S402" s="459">
        <f t="shared" si="14"/>
        <v>1895</v>
      </c>
      <c r="T402" s="459">
        <f t="shared" si="14"/>
        <v>5081</v>
      </c>
      <c r="U402" s="459">
        <f t="shared" si="14"/>
        <v>1412</v>
      </c>
      <c r="V402" s="460">
        <f t="shared" si="14"/>
        <v>1007</v>
      </c>
      <c r="W402" s="687">
        <f>SUM(W400:W401)</f>
        <v>1298</v>
      </c>
      <c r="X402" s="1520">
        <f t="shared" ref="X402:AB402" si="15">SUM(X400:X401)</f>
        <v>1002</v>
      </c>
      <c r="Y402" s="1520">
        <f t="shared" si="15"/>
        <v>2926</v>
      </c>
      <c r="Z402" s="1520">
        <f t="shared" si="15"/>
        <v>5081</v>
      </c>
      <c r="AA402" s="1520">
        <f t="shared" si="15"/>
        <v>1412</v>
      </c>
      <c r="AB402" s="1520">
        <f t="shared" si="15"/>
        <v>1007</v>
      </c>
    </row>
    <row r="403" spans="1:28" ht="12.95" customHeight="1" thickBot="1" x14ac:dyDescent="0.25">
      <c r="A403" s="8" t="s">
        <v>220</v>
      </c>
      <c r="B403" s="1925"/>
      <c r="C403" s="2136"/>
      <c r="D403" s="2115" t="s">
        <v>7</v>
      </c>
      <c r="E403" s="2092"/>
      <c r="F403" s="2092"/>
      <c r="G403" s="2092"/>
      <c r="H403" s="2092"/>
      <c r="I403" s="2092"/>
      <c r="J403" s="2092"/>
      <c r="K403" s="2092"/>
      <c r="L403" s="2092"/>
      <c r="M403" s="2092"/>
      <c r="N403" s="2092"/>
      <c r="O403" s="2092"/>
      <c r="P403" s="2092"/>
      <c r="Q403" s="2092"/>
      <c r="R403" s="2092"/>
      <c r="S403" s="2092"/>
      <c r="T403" s="2092"/>
      <c r="U403" s="2092"/>
      <c r="V403" s="2092"/>
      <c r="W403" s="2092"/>
      <c r="X403" s="2092"/>
      <c r="Y403" s="2092"/>
      <c r="Z403" s="2092"/>
      <c r="AA403" s="2092"/>
      <c r="AB403" s="2093"/>
    </row>
    <row r="404" spans="1:28" ht="12.95" customHeight="1" thickBot="1" x14ac:dyDescent="0.25">
      <c r="A404" s="8" t="s">
        <v>220</v>
      </c>
      <c r="B404" s="1925"/>
      <c r="C404" s="979"/>
      <c r="D404" s="1894" t="s">
        <v>228</v>
      </c>
      <c r="E404" s="1895"/>
      <c r="F404" s="1895"/>
      <c r="G404" s="1895"/>
      <c r="H404" s="1895"/>
      <c r="I404" s="1895"/>
      <c r="J404" s="1895"/>
      <c r="K404" s="1895"/>
      <c r="L404" s="1895"/>
      <c r="M404" s="1895"/>
      <c r="N404" s="1895"/>
      <c r="O404" s="1895"/>
      <c r="P404" s="1895"/>
      <c r="Q404" s="1895"/>
      <c r="R404" s="1895"/>
      <c r="S404" s="1895"/>
      <c r="T404" s="1895"/>
      <c r="U404" s="1895"/>
      <c r="V404" s="1895"/>
      <c r="W404" s="1895"/>
      <c r="X404" s="1895"/>
      <c r="Y404" s="1895"/>
      <c r="Z404" s="1895"/>
      <c r="AA404" s="1895"/>
      <c r="AB404" s="1896"/>
    </row>
    <row r="405" spans="1:28" ht="12.95" customHeight="1" thickBot="1" x14ac:dyDescent="0.25">
      <c r="A405" s="8" t="s">
        <v>220</v>
      </c>
      <c r="B405" s="1925"/>
      <c r="C405" s="980" t="s">
        <v>19</v>
      </c>
      <c r="D405" s="981"/>
      <c r="E405" s="2107" t="s">
        <v>443</v>
      </c>
      <c r="F405" s="2108"/>
      <c r="G405" s="2108"/>
      <c r="H405" s="2108"/>
      <c r="I405" s="2108"/>
      <c r="J405" s="2109"/>
      <c r="K405" s="1878" t="s">
        <v>327</v>
      </c>
      <c r="L405" s="1879"/>
      <c r="M405" s="1879"/>
      <c r="N405" s="1879"/>
      <c r="O405" s="1879"/>
      <c r="P405" s="1880"/>
      <c r="Q405" s="2058" t="s">
        <v>163</v>
      </c>
      <c r="R405" s="2059"/>
      <c r="S405" s="2059"/>
      <c r="T405" s="2059"/>
      <c r="U405" s="2059"/>
      <c r="V405" s="2060"/>
      <c r="W405" s="1881" t="s">
        <v>162</v>
      </c>
      <c r="X405" s="1882"/>
      <c r="Y405" s="1882"/>
      <c r="Z405" s="1882"/>
      <c r="AA405" s="1882"/>
      <c r="AB405" s="1947"/>
    </row>
    <row r="406" spans="1:28" ht="12.95" customHeight="1" thickBot="1" x14ac:dyDescent="0.25">
      <c r="A406" s="8" t="s">
        <v>220</v>
      </c>
      <c r="B406" s="1925"/>
      <c r="C406" s="2057" t="s">
        <v>86</v>
      </c>
      <c r="D406" s="982" t="s">
        <v>12</v>
      </c>
      <c r="E406" s="2113" t="s">
        <v>9</v>
      </c>
      <c r="F406" s="2113"/>
      <c r="G406" s="2113"/>
      <c r="H406" s="2113"/>
      <c r="I406" s="2113"/>
      <c r="J406" s="2113"/>
      <c r="K406" s="2061" t="s">
        <v>9</v>
      </c>
      <c r="L406" s="2061"/>
      <c r="M406" s="2061"/>
      <c r="N406" s="2061"/>
      <c r="O406" s="2061"/>
      <c r="P406" s="2061"/>
      <c r="Q406" s="2061" t="s">
        <v>9</v>
      </c>
      <c r="R406" s="2061"/>
      <c r="S406" s="2061"/>
      <c r="T406" s="2061"/>
      <c r="U406" s="2061"/>
      <c r="V406" s="2061"/>
      <c r="W406" s="2061" t="s">
        <v>11</v>
      </c>
      <c r="X406" s="2061"/>
      <c r="Y406" s="2061"/>
      <c r="Z406" s="2061"/>
      <c r="AA406" s="2061"/>
      <c r="AB406" s="2061"/>
    </row>
    <row r="407" spans="1:28" ht="12.95" customHeight="1" thickBot="1" x14ac:dyDescent="0.25">
      <c r="A407" s="8" t="s">
        <v>220</v>
      </c>
      <c r="B407" s="1925"/>
      <c r="C407" s="1925"/>
      <c r="D407" s="983" t="s">
        <v>10</v>
      </c>
      <c r="E407" s="2114" t="s">
        <v>9</v>
      </c>
      <c r="F407" s="2062"/>
      <c r="G407" s="2062"/>
      <c r="H407" s="2062"/>
      <c r="I407" s="2062"/>
      <c r="J407" s="2062"/>
      <c r="K407" s="2062" t="s">
        <v>11</v>
      </c>
      <c r="L407" s="2062"/>
      <c r="M407" s="2062"/>
      <c r="N407" s="2062"/>
      <c r="O407" s="2062"/>
      <c r="P407" s="2062"/>
      <c r="Q407" s="2062" t="s">
        <v>9</v>
      </c>
      <c r="R407" s="2062"/>
      <c r="S407" s="2062"/>
      <c r="T407" s="2062"/>
      <c r="U407" s="2062"/>
      <c r="V407" s="2062"/>
      <c r="W407" s="2062" t="s">
        <v>11</v>
      </c>
      <c r="X407" s="2062"/>
      <c r="Y407" s="2062"/>
      <c r="Z407" s="2062"/>
      <c r="AA407" s="2062"/>
      <c r="AB407" s="2062"/>
    </row>
    <row r="408" spans="1:28" ht="12.95" customHeight="1" thickBot="1" x14ac:dyDescent="0.25">
      <c r="A408" s="8" t="s">
        <v>221</v>
      </c>
      <c r="B408" s="1925"/>
      <c r="C408" s="1925"/>
      <c r="D408" s="391"/>
      <c r="E408" s="1879" t="s">
        <v>89</v>
      </c>
      <c r="F408" s="1883"/>
      <c r="G408" s="1883"/>
      <c r="H408" s="1883"/>
      <c r="I408" s="1883"/>
      <c r="J408" s="1884"/>
      <c r="K408" s="1878" t="s">
        <v>327</v>
      </c>
      <c r="L408" s="1879"/>
      <c r="M408" s="1879"/>
      <c r="N408" s="1879"/>
      <c r="O408" s="1879"/>
      <c r="P408" s="1880"/>
      <c r="Q408" s="1881" t="s">
        <v>163</v>
      </c>
      <c r="R408" s="1882"/>
      <c r="S408" s="1882"/>
      <c r="T408" s="1882"/>
      <c r="U408" s="1882"/>
      <c r="V408" s="1882"/>
      <c r="W408" s="1881" t="s">
        <v>162</v>
      </c>
      <c r="X408" s="1882"/>
      <c r="Y408" s="1882"/>
      <c r="Z408" s="1882"/>
      <c r="AA408" s="1882"/>
      <c r="AB408" s="1947"/>
    </row>
    <row r="409" spans="1:28" ht="12.95" customHeight="1" thickBot="1" x14ac:dyDescent="0.25">
      <c r="A409" s="8" t="s">
        <v>221</v>
      </c>
      <c r="B409" s="1925"/>
      <c r="C409" s="1925"/>
      <c r="D409" s="391"/>
      <c r="E409" s="720" t="s">
        <v>18</v>
      </c>
      <c r="F409" s="377" t="s">
        <v>17</v>
      </c>
      <c r="G409" s="377" t="s">
        <v>16</v>
      </c>
      <c r="H409" s="377" t="s">
        <v>15</v>
      </c>
      <c r="I409" s="377" t="s">
        <v>14</v>
      </c>
      <c r="J409" s="378" t="s">
        <v>13</v>
      </c>
      <c r="K409" s="893" t="s">
        <v>18</v>
      </c>
      <c r="L409" s="891" t="s">
        <v>17</v>
      </c>
      <c r="M409" s="894" t="s">
        <v>16</v>
      </c>
      <c r="N409" s="891" t="s">
        <v>15</v>
      </c>
      <c r="O409" s="891" t="s">
        <v>14</v>
      </c>
      <c r="P409" s="892" t="s">
        <v>13</v>
      </c>
      <c r="Q409" s="893" t="s">
        <v>18</v>
      </c>
      <c r="R409" s="891" t="s">
        <v>17</v>
      </c>
      <c r="S409" s="891" t="s">
        <v>16</v>
      </c>
      <c r="T409" s="891" t="s">
        <v>15</v>
      </c>
      <c r="U409" s="891" t="s">
        <v>14</v>
      </c>
      <c r="V409" s="892" t="s">
        <v>13</v>
      </c>
      <c r="W409" s="893" t="s">
        <v>18</v>
      </c>
      <c r="X409" s="891" t="s">
        <v>17</v>
      </c>
      <c r="Y409" s="891" t="s">
        <v>16</v>
      </c>
      <c r="Z409" s="891" t="s">
        <v>15</v>
      </c>
      <c r="AA409" s="891" t="s">
        <v>14</v>
      </c>
      <c r="AB409" s="892" t="s">
        <v>13</v>
      </c>
    </row>
    <row r="410" spans="1:28" ht="12.95" customHeight="1" x14ac:dyDescent="0.2">
      <c r="A410" s="8" t="s">
        <v>221</v>
      </c>
      <c r="B410" s="1925"/>
      <c r="C410" s="1925"/>
      <c r="D410" s="715" t="s">
        <v>12</v>
      </c>
      <c r="E410" s="468" t="s">
        <v>9</v>
      </c>
      <c r="F410" s="826" t="s">
        <v>9</v>
      </c>
      <c r="G410" s="826" t="s">
        <v>9</v>
      </c>
      <c r="H410" s="826" t="s">
        <v>9</v>
      </c>
      <c r="I410" s="826" t="s">
        <v>9</v>
      </c>
      <c r="J410" s="984" t="s">
        <v>9</v>
      </c>
      <c r="K410" s="985" t="s">
        <v>9</v>
      </c>
      <c r="L410" s="943" t="s">
        <v>9</v>
      </c>
      <c r="M410" s="943" t="s">
        <v>9</v>
      </c>
      <c r="N410" s="943" t="s">
        <v>9</v>
      </c>
      <c r="O410" s="943" t="s">
        <v>9</v>
      </c>
      <c r="P410" s="944" t="s">
        <v>9</v>
      </c>
      <c r="Q410" s="945" t="s">
        <v>9</v>
      </c>
      <c r="R410" s="798" t="s">
        <v>9</v>
      </c>
      <c r="S410" s="798" t="s">
        <v>9</v>
      </c>
      <c r="T410" s="798" t="s">
        <v>9</v>
      </c>
      <c r="U410" s="798" t="s">
        <v>9</v>
      </c>
      <c r="V410" s="946" t="s">
        <v>9</v>
      </c>
      <c r="W410" s="945" t="s">
        <v>11</v>
      </c>
      <c r="X410" s="798" t="s">
        <v>11</v>
      </c>
      <c r="Y410" s="798" t="s">
        <v>11</v>
      </c>
      <c r="Z410" s="798" t="s">
        <v>11</v>
      </c>
      <c r="AA410" s="798" t="s">
        <v>11</v>
      </c>
      <c r="AB410" s="946" t="s">
        <v>11</v>
      </c>
    </row>
    <row r="411" spans="1:28" ht="12.95" customHeight="1" thickBot="1" x14ac:dyDescent="0.25">
      <c r="A411" s="8" t="s">
        <v>221</v>
      </c>
      <c r="B411" s="1925"/>
      <c r="C411" s="1925"/>
      <c r="D411" s="850" t="s">
        <v>10</v>
      </c>
      <c r="E411" s="484" t="s">
        <v>9</v>
      </c>
      <c r="F411" s="403" t="s">
        <v>9</v>
      </c>
      <c r="G411" s="403" t="s">
        <v>11</v>
      </c>
      <c r="H411" s="403" t="s">
        <v>9</v>
      </c>
      <c r="I411" s="403" t="s">
        <v>11</v>
      </c>
      <c r="J411" s="470" t="s">
        <v>11</v>
      </c>
      <c r="K411" s="469" t="s">
        <v>11</v>
      </c>
      <c r="L411" s="404" t="s">
        <v>11</v>
      </c>
      <c r="M411" s="404" t="s">
        <v>11</v>
      </c>
      <c r="N411" s="404" t="s">
        <v>11</v>
      </c>
      <c r="O411" s="404" t="s">
        <v>11</v>
      </c>
      <c r="P411" s="405" t="s">
        <v>11</v>
      </c>
      <c r="Q411" s="399" t="s">
        <v>9</v>
      </c>
      <c r="R411" s="404" t="s">
        <v>9</v>
      </c>
      <c r="S411" s="404" t="s">
        <v>9</v>
      </c>
      <c r="T411" s="404" t="s">
        <v>8</v>
      </c>
      <c r="U411" s="404" t="s">
        <v>9</v>
      </c>
      <c r="V411" s="405" t="s">
        <v>9</v>
      </c>
      <c r="W411" s="399" t="s">
        <v>11</v>
      </c>
      <c r="X411" s="404" t="s">
        <v>11</v>
      </c>
      <c r="Y411" s="404" t="s">
        <v>11</v>
      </c>
      <c r="Z411" s="404" t="s">
        <v>11</v>
      </c>
      <c r="AA411" s="404" t="s">
        <v>11</v>
      </c>
      <c r="AB411" s="405" t="s">
        <v>11</v>
      </c>
    </row>
    <row r="412" spans="1:28" ht="12.95" customHeight="1" thickBot="1" x14ac:dyDescent="0.25">
      <c r="A412" s="8" t="s">
        <v>220</v>
      </c>
      <c r="B412" s="1925"/>
      <c r="C412" s="1925"/>
      <c r="D412" s="2115" t="s">
        <v>7</v>
      </c>
      <c r="E412" s="2092"/>
      <c r="F412" s="2092"/>
      <c r="G412" s="2092"/>
      <c r="H412" s="2092"/>
      <c r="I412" s="2092"/>
      <c r="J412" s="2092"/>
      <c r="K412" s="2092"/>
      <c r="L412" s="2092"/>
      <c r="M412" s="2092"/>
      <c r="N412" s="2092"/>
      <c r="O412" s="2092"/>
      <c r="P412" s="2092"/>
      <c r="Q412" s="2092"/>
      <c r="R412" s="2092"/>
      <c r="S412" s="2092"/>
      <c r="T412" s="2092"/>
      <c r="U412" s="2092"/>
      <c r="V412" s="2092"/>
      <c r="W412" s="2092"/>
      <c r="X412" s="2092"/>
      <c r="Y412" s="2092"/>
      <c r="Z412" s="2092"/>
      <c r="AA412" s="2092"/>
      <c r="AB412" s="2093"/>
    </row>
    <row r="413" spans="1:28" ht="12.95" customHeight="1" thickBot="1" x14ac:dyDescent="0.25">
      <c r="A413" s="8" t="s">
        <v>220</v>
      </c>
      <c r="B413" s="1925"/>
      <c r="C413" s="699"/>
      <c r="D413" s="2100" t="s">
        <v>1224</v>
      </c>
      <c r="E413" s="1840"/>
      <c r="F413" s="1840"/>
      <c r="G413" s="1840"/>
      <c r="H413" s="1840"/>
      <c r="I413" s="1840"/>
      <c r="J413" s="1840"/>
      <c r="K413" s="1840"/>
      <c r="L413" s="1840"/>
      <c r="M413" s="1840"/>
      <c r="N413" s="1840"/>
      <c r="O413" s="1840"/>
      <c r="P413" s="1840"/>
      <c r="Q413" s="1840"/>
      <c r="R413" s="1840"/>
      <c r="S413" s="1840"/>
      <c r="T413" s="1840"/>
      <c r="U413" s="1840"/>
      <c r="V413" s="1840"/>
      <c r="W413" s="1840"/>
      <c r="X413" s="1840"/>
      <c r="Y413" s="1840"/>
      <c r="Z413" s="1840"/>
      <c r="AA413" s="1840"/>
      <c r="AB413" s="1841"/>
    </row>
    <row r="414" spans="1:28" ht="16.5" customHeight="1" thickBot="1" x14ac:dyDescent="0.25">
      <c r="A414" s="8" t="s">
        <v>220</v>
      </c>
      <c r="B414" s="1925"/>
      <c r="C414" s="986" t="s">
        <v>85</v>
      </c>
      <c r="D414" s="1312"/>
      <c r="E414" s="2121" t="s">
        <v>447</v>
      </c>
      <c r="F414" s="2122"/>
      <c r="G414" s="2122"/>
      <c r="H414" s="2122"/>
      <c r="I414" s="2122"/>
      <c r="J414" s="2123"/>
      <c r="K414" s="2073" t="s">
        <v>327</v>
      </c>
      <c r="L414" s="1879"/>
      <c r="M414" s="1879"/>
      <c r="N414" s="1879"/>
      <c r="O414" s="1879"/>
      <c r="P414" s="1879"/>
      <c r="Q414" s="2112" t="s">
        <v>163</v>
      </c>
      <c r="R414" s="2059"/>
      <c r="S414" s="2059"/>
      <c r="T414" s="2059"/>
      <c r="U414" s="2059"/>
      <c r="V414" s="2060"/>
      <c r="W414" s="1882" t="s">
        <v>162</v>
      </c>
      <c r="X414" s="1882"/>
      <c r="Y414" s="1882"/>
      <c r="Z414" s="1882"/>
      <c r="AA414" s="1882"/>
      <c r="AB414" s="1947"/>
    </row>
    <row r="415" spans="1:28" ht="15" customHeight="1" x14ac:dyDescent="0.2">
      <c r="A415" s="8" t="s">
        <v>220</v>
      </c>
      <c r="B415" s="1925"/>
      <c r="C415" s="2057" t="s">
        <v>187</v>
      </c>
      <c r="D415" s="2002" t="s">
        <v>12</v>
      </c>
      <c r="E415" s="2101" t="s">
        <v>73</v>
      </c>
      <c r="F415" s="2102"/>
      <c r="G415" s="2102"/>
      <c r="H415" s="2102"/>
      <c r="I415" s="2102"/>
      <c r="J415" s="2103"/>
      <c r="K415" s="1876">
        <v>2784</v>
      </c>
      <c r="L415" s="1876"/>
      <c r="M415" s="1876"/>
      <c r="N415" s="1876"/>
      <c r="O415" s="1876"/>
      <c r="P415" s="1876"/>
      <c r="Q415" s="2106">
        <v>6714</v>
      </c>
      <c r="R415" s="1853"/>
      <c r="S415" s="1853"/>
      <c r="T415" s="1853"/>
      <c r="U415" s="1853"/>
      <c r="V415" s="1854"/>
      <c r="W415" s="1855">
        <v>7271</v>
      </c>
      <c r="X415" s="1855"/>
      <c r="Y415" s="1855"/>
      <c r="Z415" s="1855"/>
      <c r="AA415" s="1855"/>
      <c r="AB415" s="1856"/>
    </row>
    <row r="416" spans="1:28" ht="15" customHeight="1" thickBot="1" x14ac:dyDescent="0.25">
      <c r="A416" s="8" t="s">
        <v>220</v>
      </c>
      <c r="B416" s="1925"/>
      <c r="C416" s="1925"/>
      <c r="D416" s="2098"/>
      <c r="E416" s="2065" t="s">
        <v>74</v>
      </c>
      <c r="F416" s="2066"/>
      <c r="G416" s="2066"/>
      <c r="H416" s="2066"/>
      <c r="I416" s="2066"/>
      <c r="J416" s="2067"/>
      <c r="K416" s="1959">
        <v>806</v>
      </c>
      <c r="L416" s="1959"/>
      <c r="M416" s="1959"/>
      <c r="N416" s="1959"/>
      <c r="O416" s="1959"/>
      <c r="P416" s="1959"/>
      <c r="Q416" s="2343">
        <v>3786</v>
      </c>
      <c r="R416" s="2344"/>
      <c r="S416" s="2344"/>
      <c r="T416" s="2344"/>
      <c r="U416" s="2344"/>
      <c r="V416" s="2345"/>
      <c r="W416" s="2069">
        <v>4856</v>
      </c>
      <c r="X416" s="2069"/>
      <c r="Y416" s="2069"/>
      <c r="Z416" s="2069"/>
      <c r="AA416" s="2069"/>
      <c r="AB416" s="2322"/>
    </row>
    <row r="417" spans="1:28" ht="13.5" customHeight="1" thickBot="1" x14ac:dyDescent="0.25">
      <c r="A417" s="8" t="s">
        <v>220</v>
      </c>
      <c r="B417" s="1925"/>
      <c r="C417" s="1925"/>
      <c r="D417" s="2099"/>
      <c r="E417" s="2324" t="s">
        <v>72</v>
      </c>
      <c r="F417" s="2312"/>
      <c r="G417" s="2312"/>
      <c r="H417" s="2312">
        <v>2330</v>
      </c>
      <c r="I417" s="2312"/>
      <c r="J417" s="2313"/>
      <c r="K417" s="2325">
        <v>3590</v>
      </c>
      <c r="L417" s="2325"/>
      <c r="M417" s="2325"/>
      <c r="N417" s="2325"/>
      <c r="O417" s="2325"/>
      <c r="P417" s="2325"/>
      <c r="Q417" s="2326">
        <f>SUM(Q415:V416)</f>
        <v>10500</v>
      </c>
      <c r="R417" s="2327"/>
      <c r="S417" s="2327"/>
      <c r="T417" s="2327"/>
      <c r="U417" s="2327"/>
      <c r="V417" s="2328"/>
      <c r="W417" s="2329">
        <v>12127</v>
      </c>
      <c r="X417" s="2329"/>
      <c r="Y417" s="2329"/>
      <c r="Z417" s="2329"/>
      <c r="AA417" s="2329"/>
      <c r="AB417" s="2330"/>
    </row>
    <row r="418" spans="1:28" ht="13.5" customHeight="1" x14ac:dyDescent="0.2">
      <c r="A418" s="8" t="s">
        <v>220</v>
      </c>
      <c r="B418" s="1925"/>
      <c r="C418" s="1925"/>
      <c r="D418" s="2002" t="s">
        <v>10</v>
      </c>
      <c r="E418" s="2065" t="s">
        <v>73</v>
      </c>
      <c r="F418" s="2066"/>
      <c r="G418" s="2066"/>
      <c r="H418" s="2066"/>
      <c r="I418" s="2066"/>
      <c r="J418" s="2067"/>
      <c r="K418" s="1930">
        <v>7092</v>
      </c>
      <c r="L418" s="1855"/>
      <c r="M418" s="1855"/>
      <c r="N418" s="1855"/>
      <c r="O418" s="1855"/>
      <c r="P418" s="1855"/>
      <c r="Q418" s="1930">
        <f>SUM(Q427:V427)</f>
        <v>7030</v>
      </c>
      <c r="R418" s="1855"/>
      <c r="S418" s="1855"/>
      <c r="T418" s="1855"/>
      <c r="U418" s="1855"/>
      <c r="V418" s="1856"/>
      <c r="W418" s="1876">
        <f>SUM(W427:AB427)</f>
        <v>4151</v>
      </c>
      <c r="X418" s="1876"/>
      <c r="Y418" s="1876"/>
      <c r="Z418" s="1876"/>
      <c r="AA418" s="1876"/>
      <c r="AB418" s="1877"/>
    </row>
    <row r="419" spans="1:28" ht="13.5" customHeight="1" thickBot="1" x14ac:dyDescent="0.25">
      <c r="A419" s="8" t="s">
        <v>220</v>
      </c>
      <c r="B419" s="1925"/>
      <c r="C419" s="1925"/>
      <c r="D419" s="2098"/>
      <c r="E419" s="2070" t="s">
        <v>74</v>
      </c>
      <c r="F419" s="2071"/>
      <c r="G419" s="2071"/>
      <c r="H419" s="2071"/>
      <c r="I419" s="2071"/>
      <c r="J419" s="2072"/>
      <c r="K419" s="2068">
        <v>3346</v>
      </c>
      <c r="L419" s="2069"/>
      <c r="M419" s="2069"/>
      <c r="N419" s="2069"/>
      <c r="O419" s="2069"/>
      <c r="P419" s="2069"/>
      <c r="Q419" s="2068">
        <f>SUM(Q428:V428)</f>
        <v>3993</v>
      </c>
      <c r="R419" s="2069"/>
      <c r="S419" s="2069"/>
      <c r="T419" s="2069"/>
      <c r="U419" s="2069"/>
      <c r="V419" s="2322"/>
      <c r="W419" s="1959">
        <f>SUM(W428:AB428)</f>
        <v>8575</v>
      </c>
      <c r="X419" s="1959"/>
      <c r="Y419" s="1959"/>
      <c r="Z419" s="1959"/>
      <c r="AA419" s="1959"/>
      <c r="AB419" s="2323"/>
    </row>
    <row r="420" spans="1:28" ht="12.75" customHeight="1" thickBot="1" x14ac:dyDescent="0.25">
      <c r="A420" s="8" t="s">
        <v>220</v>
      </c>
      <c r="B420" s="1925"/>
      <c r="C420" s="1925"/>
      <c r="D420" s="2099"/>
      <c r="E420" s="1871" t="s">
        <v>103</v>
      </c>
      <c r="F420" s="1872"/>
      <c r="G420" s="1872"/>
      <c r="H420" s="1872">
        <v>932</v>
      </c>
      <c r="I420" s="1872"/>
      <c r="J420" s="1949"/>
      <c r="K420" s="2094">
        <v>10438</v>
      </c>
      <c r="L420" s="2095"/>
      <c r="M420" s="2095"/>
      <c r="N420" s="2095"/>
      <c r="O420" s="2095"/>
      <c r="P420" s="2095"/>
      <c r="Q420" s="2094">
        <f>Q418+Q419</f>
        <v>11023</v>
      </c>
      <c r="R420" s="2095"/>
      <c r="S420" s="2095"/>
      <c r="T420" s="2095"/>
      <c r="U420" s="2095"/>
      <c r="V420" s="2096"/>
      <c r="W420" s="1965">
        <f>SUM(W418:AB419)</f>
        <v>12726</v>
      </c>
      <c r="X420" s="1965"/>
      <c r="Y420" s="1965"/>
      <c r="Z420" s="1965"/>
      <c r="AA420" s="1965"/>
      <c r="AB420" s="2097"/>
    </row>
    <row r="421" spans="1:28" ht="13.5" customHeight="1" thickBot="1" x14ac:dyDescent="0.25">
      <c r="A421" s="8" t="s">
        <v>221</v>
      </c>
      <c r="B421" s="1925"/>
      <c r="C421" s="1925"/>
      <c r="D421" s="752"/>
      <c r="E421" s="1286" t="s">
        <v>18</v>
      </c>
      <c r="F421" s="1287" t="s">
        <v>17</v>
      </c>
      <c r="G421" s="1287" t="s">
        <v>16</v>
      </c>
      <c r="H421" s="1287" t="s">
        <v>15</v>
      </c>
      <c r="I421" s="1287" t="s">
        <v>14</v>
      </c>
      <c r="J421" s="1287" t="s">
        <v>13</v>
      </c>
      <c r="K421" s="409" t="s">
        <v>18</v>
      </c>
      <c r="L421" s="409" t="s">
        <v>17</v>
      </c>
      <c r="M421" s="410" t="s">
        <v>16</v>
      </c>
      <c r="N421" s="409" t="s">
        <v>15</v>
      </c>
      <c r="O421" s="409" t="s">
        <v>14</v>
      </c>
      <c r="P421" s="1301" t="s">
        <v>13</v>
      </c>
      <c r="Q421" s="1305" t="s">
        <v>18</v>
      </c>
      <c r="R421" s="413" t="s">
        <v>17</v>
      </c>
      <c r="S421" s="413" t="s">
        <v>16</v>
      </c>
      <c r="T421" s="413" t="s">
        <v>15</v>
      </c>
      <c r="U421" s="413" t="s">
        <v>14</v>
      </c>
      <c r="V421" s="414" t="s">
        <v>13</v>
      </c>
      <c r="W421" s="1303" t="s">
        <v>18</v>
      </c>
      <c r="X421" s="413" t="s">
        <v>17</v>
      </c>
      <c r="Y421" s="413" t="s">
        <v>16</v>
      </c>
      <c r="Z421" s="413" t="s">
        <v>15</v>
      </c>
      <c r="AA421" s="413" t="s">
        <v>14</v>
      </c>
      <c r="AB421" s="414" t="s">
        <v>13</v>
      </c>
    </row>
    <row r="422" spans="1:28" ht="13.5" customHeight="1" x14ac:dyDescent="0.2">
      <c r="A422" s="8" t="s">
        <v>221</v>
      </c>
      <c r="B422" s="1925"/>
      <c r="C422" s="1925"/>
      <c r="D422" s="717" t="s">
        <v>12</v>
      </c>
      <c r="E422" s="2101"/>
      <c r="F422" s="2102"/>
      <c r="G422" s="2102"/>
      <c r="H422" s="2102"/>
      <c r="I422" s="2102"/>
      <c r="J422" s="2103"/>
      <c r="K422" s="1283"/>
      <c r="L422" s="1284"/>
      <c r="M422" s="978"/>
      <c r="N422" s="978"/>
      <c r="O422" s="978"/>
      <c r="P422" s="978"/>
      <c r="Q422" s="1306"/>
      <c r="R422" s="1307"/>
      <c r="S422" s="1307"/>
      <c r="T422" s="1307"/>
      <c r="U422" s="1307"/>
      <c r="V422" s="1308"/>
      <c r="W422" s="498"/>
      <c r="X422" s="1307"/>
      <c r="Y422" s="1307"/>
      <c r="Z422" s="1307"/>
      <c r="AA422" s="1307"/>
      <c r="AB422" s="1308"/>
    </row>
    <row r="423" spans="1:28" ht="13.5" customHeight="1" x14ac:dyDescent="0.2">
      <c r="A423" s="8" t="s">
        <v>221</v>
      </c>
      <c r="B423" s="705"/>
      <c r="C423" s="1925"/>
      <c r="D423" s="416" t="s">
        <v>188</v>
      </c>
      <c r="E423" s="2065"/>
      <c r="F423" s="2066"/>
      <c r="G423" s="2066"/>
      <c r="H423" s="2066"/>
      <c r="I423" s="2066"/>
      <c r="J423" s="2067"/>
      <c r="K423" s="1278">
        <v>208</v>
      </c>
      <c r="L423" s="1279">
        <v>572</v>
      </c>
      <c r="M423" s="1279">
        <v>644</v>
      </c>
      <c r="N423" s="1279">
        <v>284</v>
      </c>
      <c r="O423" s="1279">
        <v>446</v>
      </c>
      <c r="P423" s="1279">
        <v>643</v>
      </c>
      <c r="Q423" s="419">
        <v>209</v>
      </c>
      <c r="R423" s="397">
        <v>491</v>
      </c>
      <c r="S423" s="397">
        <v>1132</v>
      </c>
      <c r="T423" s="397">
        <v>4511</v>
      </c>
      <c r="U423" s="397">
        <v>229</v>
      </c>
      <c r="V423" s="420">
        <v>142</v>
      </c>
      <c r="W423" s="417">
        <v>156</v>
      </c>
      <c r="X423" s="397">
        <v>203</v>
      </c>
      <c r="Y423" s="397">
        <v>1996</v>
      </c>
      <c r="Z423" s="397">
        <v>3897</v>
      </c>
      <c r="AA423" s="397">
        <v>599</v>
      </c>
      <c r="AB423" s="420">
        <v>82</v>
      </c>
    </row>
    <row r="424" spans="1:28" ht="13.5" customHeight="1" thickBot="1" x14ac:dyDescent="0.25">
      <c r="A424" s="8" t="s">
        <v>221</v>
      </c>
      <c r="B424" s="705"/>
      <c r="C424" s="1925"/>
      <c r="D424" s="1313" t="s">
        <v>189</v>
      </c>
      <c r="E424" s="2070"/>
      <c r="F424" s="2071"/>
      <c r="G424" s="2071"/>
      <c r="H424" s="2071"/>
      <c r="I424" s="2071"/>
      <c r="J424" s="2072"/>
      <c r="K424" s="1278">
        <v>85</v>
      </c>
      <c r="L424" s="1279">
        <v>139</v>
      </c>
      <c r="M424" s="1279">
        <v>116</v>
      </c>
      <c r="N424" s="1279">
        <v>218</v>
      </c>
      <c r="O424" s="1279">
        <v>179</v>
      </c>
      <c r="P424" s="1279">
        <v>70</v>
      </c>
      <c r="Q424" s="435">
        <v>317</v>
      </c>
      <c r="R424" s="433">
        <v>511</v>
      </c>
      <c r="S424" s="433">
        <v>663</v>
      </c>
      <c r="T424" s="433">
        <v>570</v>
      </c>
      <c r="U424" s="433">
        <v>860</v>
      </c>
      <c r="V424" s="436">
        <v>865</v>
      </c>
      <c r="W424" s="1397">
        <v>470</v>
      </c>
      <c r="X424" s="433">
        <v>799</v>
      </c>
      <c r="Y424" s="433">
        <v>930</v>
      </c>
      <c r="Z424" s="433">
        <v>1184</v>
      </c>
      <c r="AA424" s="433">
        <v>886</v>
      </c>
      <c r="AB424" s="436">
        <v>925</v>
      </c>
    </row>
    <row r="425" spans="1:28" ht="13.5" customHeight="1" thickBot="1" x14ac:dyDescent="0.25">
      <c r="A425" s="8" t="s">
        <v>221</v>
      </c>
      <c r="B425" s="705"/>
      <c r="C425" s="1925"/>
      <c r="D425" s="416" t="s">
        <v>68</v>
      </c>
      <c r="E425" s="1314">
        <v>138</v>
      </c>
      <c r="F425" s="1276">
        <v>341</v>
      </c>
      <c r="G425" s="1276">
        <v>328</v>
      </c>
      <c r="H425" s="1276">
        <v>616</v>
      </c>
      <c r="I425" s="1276">
        <v>449</v>
      </c>
      <c r="J425" s="1277">
        <v>408</v>
      </c>
      <c r="K425" s="1315">
        <f>SUM(K423:K424)</f>
        <v>293</v>
      </c>
      <c r="L425" s="1285">
        <f t="shared" ref="L425" si="16">SUM(L423:L424)</f>
        <v>711</v>
      </c>
      <c r="M425" s="1285">
        <f t="shared" ref="M425" si="17">SUM(M423:M424)</f>
        <v>760</v>
      </c>
      <c r="N425" s="1285">
        <f t="shared" ref="N425" si="18">SUM(N423:N424)</f>
        <v>502</v>
      </c>
      <c r="O425" s="1285">
        <f t="shared" ref="O425" si="19">SUM(O423:O424)</f>
        <v>625</v>
      </c>
      <c r="P425" s="1285">
        <f t="shared" ref="P425" si="20">SUM(P423:P424)</f>
        <v>713</v>
      </c>
      <c r="Q425" s="1309">
        <v>526</v>
      </c>
      <c r="R425" s="1310">
        <v>1002</v>
      </c>
      <c r="S425" s="1310">
        <v>1795</v>
      </c>
      <c r="T425" s="1310">
        <v>5081</v>
      </c>
      <c r="U425" s="1310">
        <v>1089</v>
      </c>
      <c r="V425" s="1311">
        <v>1007</v>
      </c>
      <c r="W425" s="1304">
        <v>626</v>
      </c>
      <c r="X425" s="1310">
        <v>1002</v>
      </c>
      <c r="Y425" s="1310">
        <v>2926</v>
      </c>
      <c r="Z425" s="1310">
        <v>5081</v>
      </c>
      <c r="AA425" s="1310">
        <v>1485</v>
      </c>
      <c r="AB425" s="1311">
        <v>1007</v>
      </c>
    </row>
    <row r="426" spans="1:28" ht="13.5" customHeight="1" x14ac:dyDescent="0.2">
      <c r="A426" s="8" t="s">
        <v>221</v>
      </c>
      <c r="B426" s="705"/>
      <c r="C426" s="1925"/>
      <c r="D426" s="717" t="s">
        <v>10</v>
      </c>
      <c r="E426" s="977"/>
      <c r="F426" s="978"/>
      <c r="G426" s="978"/>
      <c r="H426" s="978"/>
      <c r="I426" s="978"/>
      <c r="J426" s="978"/>
      <c r="K426" s="441"/>
      <c r="L426" s="442"/>
      <c r="M426" s="443"/>
      <c r="N426" s="443"/>
      <c r="O426" s="443"/>
      <c r="P426" s="1302"/>
      <c r="Q426" s="1278"/>
      <c r="R426" s="1279"/>
      <c r="S426" s="1279"/>
      <c r="T426" s="1279"/>
      <c r="U426" s="1279"/>
      <c r="V426" s="1280"/>
      <c r="W426" s="1279"/>
      <c r="X426" s="1279"/>
      <c r="Y426" s="1279"/>
      <c r="Z426" s="1279"/>
      <c r="AA426" s="1279"/>
      <c r="AB426" s="1280"/>
    </row>
    <row r="427" spans="1:28" ht="13.5" customHeight="1" x14ac:dyDescent="0.2">
      <c r="A427" s="8" t="s">
        <v>221</v>
      </c>
      <c r="B427" s="705"/>
      <c r="C427" s="1925"/>
      <c r="D427" s="416" t="s">
        <v>188</v>
      </c>
      <c r="E427" s="679"/>
      <c r="F427" s="677"/>
      <c r="G427" s="677"/>
      <c r="H427" s="677"/>
      <c r="I427" s="677"/>
      <c r="J427" s="677"/>
      <c r="K427" s="419">
        <v>451</v>
      </c>
      <c r="L427" s="397">
        <v>527</v>
      </c>
      <c r="M427" s="397">
        <v>1319</v>
      </c>
      <c r="N427" s="397">
        <v>4572</v>
      </c>
      <c r="O427" s="397">
        <v>79</v>
      </c>
      <c r="P427" s="418">
        <v>144</v>
      </c>
      <c r="Q427" s="421">
        <v>193</v>
      </c>
      <c r="R427" s="389">
        <v>213</v>
      </c>
      <c r="S427" s="389">
        <v>1352</v>
      </c>
      <c r="T427" s="389">
        <v>4545</v>
      </c>
      <c r="U427" s="389">
        <v>611</v>
      </c>
      <c r="V427" s="423">
        <v>116</v>
      </c>
      <c r="W427" s="1279">
        <v>706</v>
      </c>
      <c r="X427" s="1279">
        <v>49</v>
      </c>
      <c r="Y427" s="1279">
        <v>1673</v>
      </c>
      <c r="Z427" s="1279">
        <v>1341</v>
      </c>
      <c r="AA427" s="1279">
        <v>312</v>
      </c>
      <c r="AB427" s="1280">
        <v>70</v>
      </c>
    </row>
    <row r="428" spans="1:28" ht="13.5" customHeight="1" thickBot="1" x14ac:dyDescent="0.25">
      <c r="A428" s="8" t="s">
        <v>221</v>
      </c>
      <c r="B428" s="705"/>
      <c r="C428" s="1925"/>
      <c r="D428" s="1313" t="s">
        <v>189</v>
      </c>
      <c r="E428" s="1316"/>
      <c r="F428" s="1317"/>
      <c r="G428" s="1317"/>
      <c r="H428" s="1317"/>
      <c r="I428" s="1317"/>
      <c r="J428" s="1317"/>
      <c r="K428" s="429">
        <v>229</v>
      </c>
      <c r="L428" s="430">
        <v>475</v>
      </c>
      <c r="M428" s="430">
        <v>476</v>
      </c>
      <c r="N428" s="430">
        <v>505</v>
      </c>
      <c r="O428" s="430">
        <v>801</v>
      </c>
      <c r="P428" s="457">
        <v>860</v>
      </c>
      <c r="Q428" s="421">
        <v>433</v>
      </c>
      <c r="R428" s="389">
        <v>789</v>
      </c>
      <c r="S428" s="389">
        <v>543</v>
      </c>
      <c r="T428" s="389">
        <v>536</v>
      </c>
      <c r="U428" s="389">
        <v>801</v>
      </c>
      <c r="V428" s="423">
        <v>891</v>
      </c>
      <c r="W428" s="1291">
        <v>592</v>
      </c>
      <c r="X428" s="1291">
        <v>953</v>
      </c>
      <c r="Y428" s="1291">
        <v>1253</v>
      </c>
      <c r="Z428" s="1291">
        <v>3740</v>
      </c>
      <c r="AA428" s="1291">
        <v>1100</v>
      </c>
      <c r="AB428" s="1318">
        <v>937</v>
      </c>
    </row>
    <row r="429" spans="1:28" ht="13.5" customHeight="1" thickBot="1" x14ac:dyDescent="0.25">
      <c r="A429" s="8" t="s">
        <v>221</v>
      </c>
      <c r="B429" s="705"/>
      <c r="C429" s="1925"/>
      <c r="D429" s="416" t="s">
        <v>68</v>
      </c>
      <c r="E429" s="679">
        <v>93</v>
      </c>
      <c r="F429" s="677">
        <v>179</v>
      </c>
      <c r="G429" s="677">
        <v>102</v>
      </c>
      <c r="H429" s="677">
        <v>312</v>
      </c>
      <c r="I429" s="677">
        <v>246</v>
      </c>
      <c r="J429" s="677" t="s">
        <v>956</v>
      </c>
      <c r="K429" s="435">
        <v>680</v>
      </c>
      <c r="L429" s="433">
        <v>1002</v>
      </c>
      <c r="M429" s="433">
        <v>1795</v>
      </c>
      <c r="N429" s="433">
        <v>5077</v>
      </c>
      <c r="O429" s="433">
        <v>880</v>
      </c>
      <c r="P429" s="434">
        <v>1004</v>
      </c>
      <c r="Q429" s="1319">
        <f>SUM(Q427:Q428)</f>
        <v>626</v>
      </c>
      <c r="R429" s="1320">
        <f>SUM(R427:R428)</f>
        <v>1002</v>
      </c>
      <c r="S429" s="1320">
        <f t="shared" ref="S429:V429" si="21">SUM(S427:S428)</f>
        <v>1895</v>
      </c>
      <c r="T429" s="1320">
        <f t="shared" si="21"/>
        <v>5081</v>
      </c>
      <c r="U429" s="1320">
        <f t="shared" si="21"/>
        <v>1412</v>
      </c>
      <c r="V429" s="1321">
        <f t="shared" si="21"/>
        <v>1007</v>
      </c>
      <c r="W429" s="1279">
        <f>SUM(W427:W428)</f>
        <v>1298</v>
      </c>
      <c r="X429" s="1521">
        <f t="shared" ref="X429:AB429" si="22">SUM(X427:X428)</f>
        <v>1002</v>
      </c>
      <c r="Y429" s="1521">
        <f t="shared" si="22"/>
        <v>2926</v>
      </c>
      <c r="Z429" s="1521">
        <f t="shared" si="22"/>
        <v>5081</v>
      </c>
      <c r="AA429" s="1521">
        <f t="shared" si="22"/>
        <v>1412</v>
      </c>
      <c r="AB429" s="1521">
        <f t="shared" si="22"/>
        <v>1007</v>
      </c>
    </row>
    <row r="430" spans="1:28" ht="15.75" customHeight="1" thickBot="1" x14ac:dyDescent="0.25">
      <c r="A430" s="8" t="s">
        <v>220</v>
      </c>
      <c r="B430" s="936" t="s">
        <v>6</v>
      </c>
      <c r="C430" s="793"/>
      <c r="D430" s="2091" t="s">
        <v>7</v>
      </c>
      <c r="E430" s="2092"/>
      <c r="F430" s="2092"/>
      <c r="G430" s="2092"/>
      <c r="H430" s="2092"/>
      <c r="I430" s="2092"/>
      <c r="J430" s="2092"/>
      <c r="K430" s="2092"/>
      <c r="L430" s="2092"/>
      <c r="M430" s="2092"/>
      <c r="N430" s="2092"/>
      <c r="O430" s="2092"/>
      <c r="P430" s="2092"/>
      <c r="Q430" s="2092"/>
      <c r="R430" s="2092"/>
      <c r="S430" s="2092"/>
      <c r="T430" s="2092"/>
      <c r="U430" s="2092"/>
      <c r="V430" s="2092"/>
      <c r="W430" s="2092"/>
      <c r="X430" s="2092"/>
      <c r="Y430" s="2092"/>
      <c r="Z430" s="2092"/>
      <c r="AA430" s="2092"/>
      <c r="AB430" s="2093"/>
    </row>
    <row r="431" spans="1:28" ht="12.75" customHeight="1" thickBot="1" x14ac:dyDescent="0.25">
      <c r="A431" s="8" t="s">
        <v>220</v>
      </c>
      <c r="B431" s="1207">
        <v>0.3</v>
      </c>
      <c r="C431" s="699"/>
      <c r="D431" s="1894" t="s">
        <v>228</v>
      </c>
      <c r="E431" s="1895"/>
      <c r="F431" s="1895"/>
      <c r="G431" s="1895"/>
      <c r="H431" s="1895"/>
      <c r="I431" s="1895"/>
      <c r="J431" s="1895"/>
      <c r="K431" s="1895"/>
      <c r="L431" s="1895"/>
      <c r="M431" s="1895"/>
      <c r="N431" s="1895"/>
      <c r="O431" s="1895"/>
      <c r="P431" s="1895"/>
      <c r="Q431" s="1895"/>
      <c r="R431" s="1895"/>
      <c r="S431" s="1895"/>
      <c r="T431" s="1895"/>
      <c r="U431" s="1895"/>
      <c r="V431" s="1895"/>
      <c r="W431" s="1895"/>
      <c r="X431" s="1895"/>
      <c r="Y431" s="1895"/>
      <c r="Z431" s="1895"/>
      <c r="AA431" s="1895"/>
      <c r="AB431" s="1896"/>
    </row>
    <row r="432" spans="1:28" ht="13.5" customHeight="1" thickBot="1" x14ac:dyDescent="0.25">
      <c r="A432" s="8" t="s">
        <v>220</v>
      </c>
      <c r="B432" s="2074" t="s">
        <v>5</v>
      </c>
      <c r="C432" s="987" t="s">
        <v>997</v>
      </c>
      <c r="D432" s="988"/>
      <c r="E432" s="2076" t="s">
        <v>154</v>
      </c>
      <c r="F432" s="2077"/>
      <c r="G432" s="2077"/>
      <c r="H432" s="2077"/>
      <c r="I432" s="2077"/>
      <c r="J432" s="2078"/>
      <c r="K432" s="2085" t="s">
        <v>3</v>
      </c>
      <c r="L432" s="2086"/>
      <c r="M432" s="2086"/>
      <c r="N432" s="2086"/>
      <c r="O432" s="2086"/>
      <c r="P432" s="2087"/>
      <c r="Q432" s="2085" t="s">
        <v>155</v>
      </c>
      <c r="R432" s="2086" t="s">
        <v>2</v>
      </c>
      <c r="S432" s="2086" t="s">
        <v>2</v>
      </c>
      <c r="T432" s="2086" t="s">
        <v>2</v>
      </c>
      <c r="U432" s="2086" t="s">
        <v>2</v>
      </c>
      <c r="V432" s="2087" t="s">
        <v>2</v>
      </c>
      <c r="W432" s="2085" t="s">
        <v>156</v>
      </c>
      <c r="X432" s="2086"/>
      <c r="Y432" s="2086"/>
      <c r="Z432" s="2086"/>
      <c r="AA432" s="2086"/>
      <c r="AB432" s="2087"/>
    </row>
    <row r="433" spans="1:28" ht="13.5" customHeight="1" thickBot="1" x14ac:dyDescent="0.25">
      <c r="A433" s="8" t="s">
        <v>220</v>
      </c>
      <c r="B433" s="2075"/>
      <c r="C433" s="989"/>
      <c r="D433" s="990"/>
      <c r="E433" s="2079"/>
      <c r="F433" s="2080"/>
      <c r="G433" s="2080"/>
      <c r="H433" s="2080"/>
      <c r="I433" s="2080"/>
      <c r="J433" s="2081"/>
      <c r="K433" s="2082"/>
      <c r="L433" s="2083"/>
      <c r="M433" s="2083"/>
      <c r="N433" s="2083"/>
      <c r="O433" s="2083"/>
      <c r="P433" s="2084"/>
      <c r="Q433" s="2082"/>
      <c r="R433" s="2083"/>
      <c r="S433" s="2083"/>
      <c r="T433" s="2083"/>
      <c r="U433" s="2083"/>
      <c r="V433" s="2084"/>
      <c r="W433" s="2088" t="s">
        <v>157</v>
      </c>
      <c r="X433" s="2089"/>
      <c r="Y433" s="2089"/>
      <c r="Z433" s="2089"/>
      <c r="AA433" s="2089"/>
      <c r="AB433" s="2090"/>
    </row>
    <row r="434" spans="1:28" ht="13.5" thickBot="1" x14ac:dyDescent="0.25">
      <c r="A434" s="8" t="s">
        <v>220</v>
      </c>
      <c r="B434" s="2301" t="s">
        <v>1</v>
      </c>
      <c r="C434" s="991" t="s">
        <v>0</v>
      </c>
      <c r="D434" s="992"/>
      <c r="E434" s="2303"/>
      <c r="F434" s="2304"/>
      <c r="G434" s="2304"/>
      <c r="H434" s="2304"/>
      <c r="I434" s="2304"/>
      <c r="J434" s="2304"/>
      <c r="K434" s="2304"/>
      <c r="L434" s="2304"/>
      <c r="M434" s="2304"/>
      <c r="N434" s="2304"/>
      <c r="O434" s="2304"/>
      <c r="P434" s="2304"/>
      <c r="Q434" s="2304"/>
      <c r="R434" s="2304"/>
      <c r="S434" s="2304"/>
      <c r="T434" s="2304"/>
      <c r="U434" s="2304"/>
      <c r="V434" s="2304"/>
      <c r="W434" s="2304"/>
      <c r="X434" s="2304"/>
      <c r="Y434" s="2304"/>
      <c r="Z434" s="2304"/>
      <c r="AA434" s="2304"/>
      <c r="AB434" s="2305"/>
    </row>
    <row r="435" spans="1:28" ht="13.5" thickBot="1" x14ac:dyDescent="0.25">
      <c r="A435" s="8" t="s">
        <v>220</v>
      </c>
      <c r="B435" s="2302"/>
      <c r="C435" s="868"/>
      <c r="D435" s="969"/>
      <c r="E435" s="2306"/>
      <c r="F435" s="2307"/>
      <c r="G435" s="2307"/>
      <c r="H435" s="2307"/>
      <c r="I435" s="2307"/>
      <c r="J435" s="2307"/>
      <c r="K435" s="2307"/>
      <c r="L435" s="2307"/>
      <c r="M435" s="2307"/>
      <c r="N435" s="2307"/>
      <c r="O435" s="2307"/>
      <c r="P435" s="2307"/>
      <c r="Q435" s="2307"/>
      <c r="R435" s="2307"/>
      <c r="S435" s="2307"/>
      <c r="T435" s="2307"/>
      <c r="U435" s="2307"/>
      <c r="V435" s="2307"/>
      <c r="W435" s="2307"/>
      <c r="X435" s="2307"/>
      <c r="Y435" s="2307"/>
      <c r="Z435" s="2307"/>
      <c r="AA435" s="2307"/>
      <c r="AB435" s="2308"/>
    </row>
    <row r="437" spans="1:28" ht="18" x14ac:dyDescent="0.2">
      <c r="B437" s="1"/>
    </row>
    <row r="438" spans="1:28" ht="18" x14ac:dyDescent="0.2">
      <c r="B438" s="1"/>
    </row>
    <row r="439" spans="1:28" ht="18" x14ac:dyDescent="0.2">
      <c r="B439" s="1"/>
    </row>
    <row r="440" spans="1:28" ht="18" x14ac:dyDescent="0.2">
      <c r="B440" s="1"/>
    </row>
    <row r="441" spans="1:28" ht="18" x14ac:dyDescent="0.2">
      <c r="B441" s="1"/>
    </row>
    <row r="442" spans="1:28" ht="18" x14ac:dyDescent="0.2">
      <c r="B442" s="1"/>
    </row>
    <row r="443" spans="1:28" ht="18" x14ac:dyDescent="0.2">
      <c r="B443" s="1"/>
    </row>
    <row r="444" spans="1:28" ht="18" x14ac:dyDescent="0.2">
      <c r="B444" s="1"/>
    </row>
    <row r="445" spans="1:28" ht="18" x14ac:dyDescent="0.2">
      <c r="B445" s="1"/>
    </row>
    <row r="446" spans="1:28" ht="18" x14ac:dyDescent="0.2">
      <c r="B446" s="1"/>
    </row>
    <row r="447" spans="1:28" ht="18" x14ac:dyDescent="0.2">
      <c r="B447" s="1"/>
    </row>
    <row r="448" spans="1:28" ht="33.75" customHeight="1" x14ac:dyDescent="0.2">
      <c r="B448" s="2300"/>
      <c r="C448" s="2300"/>
      <c r="D448" s="2300"/>
      <c r="E448" s="2300"/>
      <c r="F448" s="2300"/>
      <c r="G448" s="2300"/>
      <c r="H448" s="2300"/>
      <c r="I448" s="2300"/>
      <c r="J448" s="2300"/>
      <c r="K448" s="2300"/>
      <c r="L448" s="2300"/>
      <c r="M448" s="2300"/>
      <c r="N448" s="2300"/>
      <c r="O448" s="2300"/>
      <c r="P448" s="2300"/>
      <c r="Q448" s="2300"/>
      <c r="R448" s="2300"/>
      <c r="S448" s="2300"/>
      <c r="T448" s="2300"/>
      <c r="U448" s="2300"/>
      <c r="V448" s="2300"/>
      <c r="W448" s="2300"/>
      <c r="X448" s="2300"/>
      <c r="Y448" s="2300"/>
      <c r="Z448" s="2300"/>
      <c r="AA448" s="2300"/>
      <c r="AB448" s="2300"/>
    </row>
    <row r="449" spans="2:28" ht="18" x14ac:dyDescent="0.2">
      <c r="B449" s="1"/>
    </row>
    <row r="450" spans="2:28" ht="18" x14ac:dyDescent="0.2">
      <c r="B450" s="1"/>
    </row>
    <row r="451" spans="2:28" ht="18" x14ac:dyDescent="0.2">
      <c r="B451" s="1"/>
    </row>
    <row r="452" spans="2:28" ht="32.25" customHeight="1" x14ac:dyDescent="0.2">
      <c r="B452" s="2300"/>
      <c r="C452" s="2300"/>
      <c r="D452" s="2300"/>
      <c r="E452" s="2300"/>
      <c r="F452" s="2300"/>
      <c r="G452" s="2300"/>
      <c r="H452" s="2300"/>
      <c r="I452" s="2300"/>
      <c r="J452" s="2300"/>
      <c r="K452" s="2300"/>
      <c r="L452" s="2300"/>
      <c r="M452" s="2300"/>
      <c r="N452" s="2300"/>
      <c r="O452" s="2300"/>
      <c r="P452" s="2300"/>
      <c r="Q452" s="2300"/>
      <c r="R452" s="2300"/>
      <c r="S452" s="2300"/>
      <c r="T452" s="2300"/>
      <c r="U452" s="2300"/>
      <c r="V452" s="2300"/>
      <c r="W452" s="2300"/>
      <c r="X452" s="2300"/>
      <c r="Y452" s="2300"/>
      <c r="Z452" s="2300"/>
      <c r="AA452" s="2300"/>
      <c r="AB452" s="2300"/>
    </row>
    <row r="453" spans="2:28" ht="18" x14ac:dyDescent="0.2">
      <c r="B453" s="1"/>
    </row>
    <row r="454" spans="2:28" ht="18" x14ac:dyDescent="0.2">
      <c r="B454" s="1"/>
    </row>
    <row r="455" spans="2:28" ht="18" x14ac:dyDescent="0.2">
      <c r="B455" s="1"/>
    </row>
    <row r="456" spans="2:28" ht="18" x14ac:dyDescent="0.2">
      <c r="B456" s="1"/>
    </row>
    <row r="457" spans="2:28" ht="18" x14ac:dyDescent="0.2">
      <c r="B457" s="1"/>
    </row>
  </sheetData>
  <autoFilter ref="A1:AB435">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962">
    <mergeCell ref="D65:D66"/>
    <mergeCell ref="W91:Y91"/>
    <mergeCell ref="W209:Y209"/>
    <mergeCell ref="D208:D209"/>
    <mergeCell ref="S156:V156"/>
    <mergeCell ref="S157:V157"/>
    <mergeCell ref="S158:V158"/>
    <mergeCell ref="E77:J77"/>
    <mergeCell ref="W208:Y208"/>
    <mergeCell ref="E209:G209"/>
    <mergeCell ref="K209:M209"/>
    <mergeCell ref="Q209:S209"/>
    <mergeCell ref="E208:G208"/>
    <mergeCell ref="K208:M208"/>
    <mergeCell ref="D195:AB195"/>
    <mergeCell ref="Q194:V194"/>
    <mergeCell ref="I194:J194"/>
    <mergeCell ref="W205:AB205"/>
    <mergeCell ref="Q206:S206"/>
    <mergeCell ref="W206:Y206"/>
    <mergeCell ref="K206:M206"/>
    <mergeCell ref="E203:AB203"/>
    <mergeCell ref="E204:AB204"/>
    <mergeCell ref="E100:G100"/>
    <mergeCell ref="W170:X170"/>
    <mergeCell ref="I192:J192"/>
    <mergeCell ref="E176:J179"/>
    <mergeCell ref="E174:F174"/>
    <mergeCell ref="Y173:AB173"/>
    <mergeCell ref="E172:F172"/>
    <mergeCell ref="G172:J172"/>
    <mergeCell ref="K172:L172"/>
    <mergeCell ref="M172:P172"/>
    <mergeCell ref="G182:J182"/>
    <mergeCell ref="E190:H190"/>
    <mergeCell ref="E191:H191"/>
    <mergeCell ref="I191:J191"/>
    <mergeCell ref="K191:P191"/>
    <mergeCell ref="Q191:V191"/>
    <mergeCell ref="Q187:V187"/>
    <mergeCell ref="E187:H187"/>
    <mergeCell ref="G181:J181"/>
    <mergeCell ref="E182:F182"/>
    <mergeCell ref="E183:F183"/>
    <mergeCell ref="G183:J183"/>
    <mergeCell ref="K190:P190"/>
    <mergeCell ref="Q25:V25"/>
    <mergeCell ref="W25:Y25"/>
    <mergeCell ref="Q87:V87"/>
    <mergeCell ref="Q93:S93"/>
    <mergeCell ref="Q33:V33"/>
    <mergeCell ref="E62:AB62"/>
    <mergeCell ref="E89:G89"/>
    <mergeCell ref="Q77:V77"/>
    <mergeCell ref="H90:J90"/>
    <mergeCell ref="E88:G88"/>
    <mergeCell ref="K47:P47"/>
    <mergeCell ref="K34:P34"/>
    <mergeCell ref="K67:M67"/>
    <mergeCell ref="K68:M68"/>
    <mergeCell ref="E26:G26"/>
    <mergeCell ref="Q65:R65"/>
    <mergeCell ref="K64:P64"/>
    <mergeCell ref="Q28:V28"/>
    <mergeCell ref="K27:L27"/>
    <mergeCell ref="K32:P32"/>
    <mergeCell ref="E25:G25"/>
    <mergeCell ref="K25:M25"/>
    <mergeCell ref="W93:Y93"/>
    <mergeCell ref="W68:Y68"/>
    <mergeCell ref="D19:D24"/>
    <mergeCell ref="Q19:V19"/>
    <mergeCell ref="W19:Y19"/>
    <mergeCell ref="E20:F20"/>
    <mergeCell ref="W20:X20"/>
    <mergeCell ref="E21:F21"/>
    <mergeCell ref="Q21:V21"/>
    <mergeCell ref="W21:X21"/>
    <mergeCell ref="Q22:V22"/>
    <mergeCell ref="W22:Y22"/>
    <mergeCell ref="E23:F23"/>
    <mergeCell ref="W23:X23"/>
    <mergeCell ref="E24:F24"/>
    <mergeCell ref="Q24:V24"/>
    <mergeCell ref="W24:X24"/>
    <mergeCell ref="K19:P24"/>
    <mergeCell ref="C386:C403"/>
    <mergeCell ref="C366:C382"/>
    <mergeCell ref="Q239:V239"/>
    <mergeCell ref="N229:P229"/>
    <mergeCell ref="K230:M230"/>
    <mergeCell ref="N230:P230"/>
    <mergeCell ref="K221:P221"/>
    <mergeCell ref="Q221:V221"/>
    <mergeCell ref="H345:J345"/>
    <mergeCell ref="Q345:V345"/>
    <mergeCell ref="E257:J257"/>
    <mergeCell ref="E263:J263"/>
    <mergeCell ref="E269:J269"/>
    <mergeCell ref="E275:J275"/>
    <mergeCell ref="E321:F321"/>
    <mergeCell ref="E304:F304"/>
    <mergeCell ref="K342:P342"/>
    <mergeCell ref="K229:M229"/>
    <mergeCell ref="Q280:V280"/>
    <mergeCell ref="M237:P237"/>
    <mergeCell ref="K240:L240"/>
    <mergeCell ref="M240:P240"/>
    <mergeCell ref="E238:F238"/>
    <mergeCell ref="G238:J238"/>
    <mergeCell ref="K114:P114"/>
    <mergeCell ref="E280:J280"/>
    <mergeCell ref="K280:P280"/>
    <mergeCell ref="C115:C136"/>
    <mergeCell ref="N369:P369"/>
    <mergeCell ref="Q369:V369"/>
    <mergeCell ref="W369:AB369"/>
    <mergeCell ref="C206:C220"/>
    <mergeCell ref="D206:D207"/>
    <mergeCell ref="E206:G206"/>
    <mergeCell ref="Q208:S208"/>
    <mergeCell ref="Q189:V189"/>
    <mergeCell ref="K192:P192"/>
    <mergeCell ref="W192:AB192"/>
    <mergeCell ref="I187:J187"/>
    <mergeCell ref="K187:P187"/>
    <mergeCell ref="W187:AB187"/>
    <mergeCell ref="D286:D288"/>
    <mergeCell ref="G310:J310"/>
    <mergeCell ref="Q320:V320"/>
    <mergeCell ref="K327:M327"/>
    <mergeCell ref="W325:AB325"/>
    <mergeCell ref="W326:AB326"/>
    <mergeCell ref="E310:F310"/>
    <mergeCell ref="W188:AB188"/>
    <mergeCell ref="Q193:V193"/>
    <mergeCell ref="K408:P408"/>
    <mergeCell ref="E387:G387"/>
    <mergeCell ref="H372:J372"/>
    <mergeCell ref="K372:M372"/>
    <mergeCell ref="N372:P372"/>
    <mergeCell ref="E392:G392"/>
    <mergeCell ref="K392:M392"/>
    <mergeCell ref="N392:P392"/>
    <mergeCell ref="H391:J391"/>
    <mergeCell ref="E393:G393"/>
    <mergeCell ref="K199:P199"/>
    <mergeCell ref="K194:P194"/>
    <mergeCell ref="W193:AB193"/>
    <mergeCell ref="K193:P193"/>
    <mergeCell ref="Q192:V192"/>
    <mergeCell ref="W190:AB190"/>
    <mergeCell ref="W304:AB304"/>
    <mergeCell ref="F297:H297"/>
    <mergeCell ref="E295:G295"/>
    <mergeCell ref="W308:AB308"/>
    <mergeCell ref="K309:M309"/>
    <mergeCell ref="E309:F309"/>
    <mergeCell ref="K290:P290"/>
    <mergeCell ref="W286:AB286"/>
    <mergeCell ref="E306:F306"/>
    <mergeCell ref="E292:F292"/>
    <mergeCell ref="K288:M288"/>
    <mergeCell ref="N373:P373"/>
    <mergeCell ref="Q373:V373"/>
    <mergeCell ref="E366:G366"/>
    <mergeCell ref="Q308:V308"/>
    <mergeCell ref="K293:M293"/>
    <mergeCell ref="E287:F287"/>
    <mergeCell ref="G309:J309"/>
    <mergeCell ref="Q304:V304"/>
    <mergeCell ref="W405:AB405"/>
    <mergeCell ref="Q393:V393"/>
    <mergeCell ref="W393:AB393"/>
    <mergeCell ref="Q391:V391"/>
    <mergeCell ref="H389:J389"/>
    <mergeCell ref="W320:AB320"/>
    <mergeCell ref="W321:AB321"/>
    <mergeCell ref="N310:P310"/>
    <mergeCell ref="W310:AB310"/>
    <mergeCell ref="E312:I312"/>
    <mergeCell ref="Q341:V341"/>
    <mergeCell ref="E344:G344"/>
    <mergeCell ref="H368:J368"/>
    <mergeCell ref="W385:AB385"/>
    <mergeCell ref="W327:AB327"/>
    <mergeCell ref="D338:AB338"/>
    <mergeCell ref="Q327:V327"/>
    <mergeCell ref="Q328:V328"/>
    <mergeCell ref="E361:AB362"/>
    <mergeCell ref="W324:AB324"/>
    <mergeCell ref="W367:AB367"/>
    <mergeCell ref="H366:J366"/>
    <mergeCell ref="W388:AB388"/>
    <mergeCell ref="K365:P365"/>
    <mergeCell ref="D386:D388"/>
    <mergeCell ref="D404:AB404"/>
    <mergeCell ref="D403:AB403"/>
    <mergeCell ref="E372:G372"/>
    <mergeCell ref="E367:G367"/>
    <mergeCell ref="N389:P389"/>
    <mergeCell ref="Q389:V389"/>
    <mergeCell ref="W305:AB305"/>
    <mergeCell ref="N305:P305"/>
    <mergeCell ref="E308:F308"/>
    <mergeCell ref="D341:D342"/>
    <mergeCell ref="E341:G341"/>
    <mergeCell ref="H341:J341"/>
    <mergeCell ref="E373:G373"/>
    <mergeCell ref="H373:J373"/>
    <mergeCell ref="K373:M373"/>
    <mergeCell ref="Q307:V307"/>
    <mergeCell ref="Q310:V310"/>
    <mergeCell ref="E307:F307"/>
    <mergeCell ref="K307:M307"/>
    <mergeCell ref="N307:P307"/>
    <mergeCell ref="G306:J306"/>
    <mergeCell ref="K306:M306"/>
    <mergeCell ref="W240:AB240"/>
    <mergeCell ref="W234:AB234"/>
    <mergeCell ref="W389:AB389"/>
    <mergeCell ref="K387:M387"/>
    <mergeCell ref="K368:M368"/>
    <mergeCell ref="N368:P368"/>
    <mergeCell ref="E368:G368"/>
    <mergeCell ref="E385:J385"/>
    <mergeCell ref="K385:P385"/>
    <mergeCell ref="E333:J333"/>
    <mergeCell ref="Q291:V291"/>
    <mergeCell ref="Q292:V292"/>
    <mergeCell ref="W290:AB290"/>
    <mergeCell ref="K286:P286"/>
    <mergeCell ref="E293:F293"/>
    <mergeCell ref="G292:J292"/>
    <mergeCell ref="D339:AB339"/>
    <mergeCell ref="W340:AB340"/>
    <mergeCell ref="K341:P341"/>
    <mergeCell ref="W387:AB387"/>
    <mergeCell ref="W373:AB373"/>
    <mergeCell ref="N322:P322"/>
    <mergeCell ref="W322:AB322"/>
    <mergeCell ref="K305:M305"/>
    <mergeCell ref="B251:B270"/>
    <mergeCell ref="K267:P267"/>
    <mergeCell ref="C269:C270"/>
    <mergeCell ref="C304:C318"/>
    <mergeCell ref="B286:B318"/>
    <mergeCell ref="Q255:V255"/>
    <mergeCell ref="C286:C301"/>
    <mergeCell ref="E285:J285"/>
    <mergeCell ref="K285:P285"/>
    <mergeCell ref="B283:AB284"/>
    <mergeCell ref="B281:B282"/>
    <mergeCell ref="K292:M292"/>
    <mergeCell ref="D290:D292"/>
    <mergeCell ref="B279:B280"/>
    <mergeCell ref="E288:F288"/>
    <mergeCell ref="W287:AB287"/>
    <mergeCell ref="G293:J293"/>
    <mergeCell ref="B271:B276"/>
    <mergeCell ref="D272:AB272"/>
    <mergeCell ref="E281:AB282"/>
    <mergeCell ref="W303:AB303"/>
    <mergeCell ref="E303:J303"/>
    <mergeCell ref="E291:F291"/>
    <mergeCell ref="G291:J291"/>
    <mergeCell ref="Q190:V190"/>
    <mergeCell ref="E192:H192"/>
    <mergeCell ref="E189:H189"/>
    <mergeCell ref="I189:J189"/>
    <mergeCell ref="K189:P189"/>
    <mergeCell ref="Q188:V188"/>
    <mergeCell ref="E188:H188"/>
    <mergeCell ref="I188:J188"/>
    <mergeCell ref="I190:J190"/>
    <mergeCell ref="C138:C149"/>
    <mergeCell ref="K180:P180"/>
    <mergeCell ref="K176:P176"/>
    <mergeCell ref="C153:C166"/>
    <mergeCell ref="C168:C181"/>
    <mergeCell ref="E150:AB150"/>
    <mergeCell ref="E151:AB151"/>
    <mergeCell ref="S153:V153"/>
    <mergeCell ref="W169:X169"/>
    <mergeCell ref="Y169:AB169"/>
    <mergeCell ref="S169:V169"/>
    <mergeCell ref="S154:V154"/>
    <mergeCell ref="W168:AB168"/>
    <mergeCell ref="Y154:AB154"/>
    <mergeCell ref="W156:X156"/>
    <mergeCell ref="Y156:AB156"/>
    <mergeCell ref="D172:D174"/>
    <mergeCell ref="D169:D171"/>
    <mergeCell ref="G174:J174"/>
    <mergeCell ref="K174:L174"/>
    <mergeCell ref="M174:P174"/>
    <mergeCell ref="Q157:R157"/>
    <mergeCell ref="K155:L155"/>
    <mergeCell ref="Q174:R174"/>
    <mergeCell ref="Q172:R172"/>
    <mergeCell ref="S173:V173"/>
    <mergeCell ref="M153:P153"/>
    <mergeCell ref="K153:L153"/>
    <mergeCell ref="K170:L170"/>
    <mergeCell ref="K160:P163"/>
    <mergeCell ref="K169:L169"/>
    <mergeCell ref="K168:P168"/>
    <mergeCell ref="Q173:R173"/>
    <mergeCell ref="M157:P157"/>
    <mergeCell ref="Q170:R170"/>
    <mergeCell ref="W285:AB285"/>
    <mergeCell ref="N293:P293"/>
    <mergeCell ref="E290:J290"/>
    <mergeCell ref="Q287:V287"/>
    <mergeCell ref="Q288:V288"/>
    <mergeCell ref="D302:AB302"/>
    <mergeCell ref="G308:J308"/>
    <mergeCell ref="K310:M310"/>
    <mergeCell ref="W293:AB293"/>
    <mergeCell ref="K291:M291"/>
    <mergeCell ref="Q309:V309"/>
    <mergeCell ref="K308:M308"/>
    <mergeCell ref="K287:M287"/>
    <mergeCell ref="N288:P288"/>
    <mergeCell ref="Q303:V303"/>
    <mergeCell ref="N306:P306"/>
    <mergeCell ref="G305:J305"/>
    <mergeCell ref="W306:AB306"/>
    <mergeCell ref="N308:P309"/>
    <mergeCell ref="Q285:V285"/>
    <mergeCell ref="Q293:V293"/>
    <mergeCell ref="W288:AB288"/>
    <mergeCell ref="W291:AB291"/>
    <mergeCell ref="W289:AB289"/>
    <mergeCell ref="B221:B222"/>
    <mergeCell ref="S172:V172"/>
    <mergeCell ref="E173:F173"/>
    <mergeCell ref="G173:J173"/>
    <mergeCell ref="K173:L173"/>
    <mergeCell ref="W189:AB189"/>
    <mergeCell ref="M173:P173"/>
    <mergeCell ref="D187:D190"/>
    <mergeCell ref="W408:AB408"/>
    <mergeCell ref="K386:P386"/>
    <mergeCell ref="B223:B224"/>
    <mergeCell ref="K222:P222"/>
    <mergeCell ref="E267:J267"/>
    <mergeCell ref="D266:AB266"/>
    <mergeCell ref="E207:G207"/>
    <mergeCell ref="K207:M207"/>
    <mergeCell ref="Q207:S207"/>
    <mergeCell ref="W207:Y207"/>
    <mergeCell ref="E214:J214"/>
    <mergeCell ref="E219:AB219"/>
    <mergeCell ref="E220:AB220"/>
    <mergeCell ref="D271:AB271"/>
    <mergeCell ref="Q368:V368"/>
    <mergeCell ref="Q267:V267"/>
    <mergeCell ref="B452:AB452"/>
    <mergeCell ref="B361:B362"/>
    <mergeCell ref="W359:AB359"/>
    <mergeCell ref="E360:J360"/>
    <mergeCell ref="K360:P360"/>
    <mergeCell ref="W360:AB360"/>
    <mergeCell ref="B359:B360"/>
    <mergeCell ref="E359:J359"/>
    <mergeCell ref="W365:AB365"/>
    <mergeCell ref="Q359:V359"/>
    <mergeCell ref="Q360:V360"/>
    <mergeCell ref="K359:P359"/>
    <mergeCell ref="K405:P405"/>
    <mergeCell ref="Q416:V416"/>
    <mergeCell ref="K418:P418"/>
    <mergeCell ref="H415:J415"/>
    <mergeCell ref="Q415:V415"/>
    <mergeCell ref="E416:G416"/>
    <mergeCell ref="W415:AB415"/>
    <mergeCell ref="H420:J420"/>
    <mergeCell ref="D415:D417"/>
    <mergeCell ref="W416:AB416"/>
    <mergeCell ref="K393:M393"/>
    <mergeCell ref="N393:P393"/>
    <mergeCell ref="C406:C412"/>
    <mergeCell ref="D370:D372"/>
    <mergeCell ref="N371:P371"/>
    <mergeCell ref="Q386:V386"/>
    <mergeCell ref="Q408:V408"/>
    <mergeCell ref="W407:AB407"/>
    <mergeCell ref="E389:G389"/>
    <mergeCell ref="K389:M389"/>
    <mergeCell ref="K390:P390"/>
    <mergeCell ref="W406:AB406"/>
    <mergeCell ref="H393:J393"/>
    <mergeCell ref="C383:C384"/>
    <mergeCell ref="D383:AB383"/>
    <mergeCell ref="D384:AB384"/>
    <mergeCell ref="E391:G391"/>
    <mergeCell ref="H392:J392"/>
    <mergeCell ref="Q370:V370"/>
    <mergeCell ref="H387:J387"/>
    <mergeCell ref="D390:D392"/>
    <mergeCell ref="E390:J390"/>
    <mergeCell ref="Q392:V392"/>
    <mergeCell ref="H371:J371"/>
    <mergeCell ref="K371:M371"/>
    <mergeCell ref="Q390:V390"/>
    <mergeCell ref="Q419:V419"/>
    <mergeCell ref="W419:AB419"/>
    <mergeCell ref="E415:G415"/>
    <mergeCell ref="K416:P416"/>
    <mergeCell ref="E417:G417"/>
    <mergeCell ref="H417:J417"/>
    <mergeCell ref="K417:P417"/>
    <mergeCell ref="Q417:V417"/>
    <mergeCell ref="W417:AB417"/>
    <mergeCell ref="H416:J416"/>
    <mergeCell ref="E237:F237"/>
    <mergeCell ref="E289:F289"/>
    <mergeCell ref="W392:AB392"/>
    <mergeCell ref="W390:AB390"/>
    <mergeCell ref="W370:AB370"/>
    <mergeCell ref="W371:AB371"/>
    <mergeCell ref="Q372:V372"/>
    <mergeCell ref="W372:AB372"/>
    <mergeCell ref="Q385:V385"/>
    <mergeCell ref="H369:J369"/>
    <mergeCell ref="K369:M369"/>
    <mergeCell ref="W386:AB386"/>
    <mergeCell ref="Q366:V366"/>
    <mergeCell ref="W366:AB366"/>
    <mergeCell ref="E340:J340"/>
    <mergeCell ref="K340:P340"/>
    <mergeCell ref="Q340:V340"/>
    <mergeCell ref="W292:AB292"/>
    <mergeCell ref="E369:F369"/>
    <mergeCell ref="N367:P367"/>
    <mergeCell ref="Q367:V367"/>
    <mergeCell ref="E330:J330"/>
    <mergeCell ref="H367:J367"/>
    <mergeCell ref="K367:M367"/>
    <mergeCell ref="E234:J234"/>
    <mergeCell ref="K234:P234"/>
    <mergeCell ref="W154:X154"/>
    <mergeCell ref="E169:F169"/>
    <mergeCell ref="Q240:V240"/>
    <mergeCell ref="B448:AB448"/>
    <mergeCell ref="W221:AB221"/>
    <mergeCell ref="E222:J222"/>
    <mergeCell ref="B434:B435"/>
    <mergeCell ref="E434:AB435"/>
    <mergeCell ref="W229:AB229"/>
    <mergeCell ref="W228:AB228"/>
    <mergeCell ref="K239:L239"/>
    <mergeCell ref="W267:AB267"/>
    <mergeCell ref="C263:C264"/>
    <mergeCell ref="D242:AB242"/>
    <mergeCell ref="B247:AB248"/>
    <mergeCell ref="B245:B246"/>
    <mergeCell ref="E245:AB246"/>
    <mergeCell ref="Q244:V244"/>
    <mergeCell ref="B243:B244"/>
    <mergeCell ref="C251:C254"/>
    <mergeCell ref="W227:AB227"/>
    <mergeCell ref="K420:P420"/>
    <mergeCell ref="D153:D154"/>
    <mergeCell ref="W199:AB199"/>
    <mergeCell ref="E199:J199"/>
    <mergeCell ref="E198:J198"/>
    <mergeCell ref="W194:AB194"/>
    <mergeCell ref="W191:AB191"/>
    <mergeCell ref="E185:AB185"/>
    <mergeCell ref="S170:V170"/>
    <mergeCell ref="E186:J186"/>
    <mergeCell ref="K186:P186"/>
    <mergeCell ref="Q186:V186"/>
    <mergeCell ref="W186:AB186"/>
    <mergeCell ref="E184:AB184"/>
    <mergeCell ref="E181:F181"/>
    <mergeCell ref="Q169:R169"/>
    <mergeCell ref="Y170:AB170"/>
    <mergeCell ref="Y172:AB172"/>
    <mergeCell ref="W172:X172"/>
    <mergeCell ref="W173:X173"/>
    <mergeCell ref="M169:O169"/>
    <mergeCell ref="K154:L154"/>
    <mergeCell ref="E153:J155"/>
    <mergeCell ref="Q168:V168"/>
    <mergeCell ref="K156:L156"/>
    <mergeCell ref="B99:B113"/>
    <mergeCell ref="C99:C112"/>
    <mergeCell ref="K99:P99"/>
    <mergeCell ref="Q91:S91"/>
    <mergeCell ref="E91:G91"/>
    <mergeCell ref="C88:C90"/>
    <mergeCell ref="W87:AB87"/>
    <mergeCell ref="D88:D90"/>
    <mergeCell ref="K70:P70"/>
    <mergeCell ref="K71:P71"/>
    <mergeCell ref="K72:P72"/>
    <mergeCell ref="E90:G90"/>
    <mergeCell ref="K93:M93"/>
    <mergeCell ref="E93:G93"/>
    <mergeCell ref="W92:Y92"/>
    <mergeCell ref="E86:AB86"/>
    <mergeCell ref="E87:J87"/>
    <mergeCell ref="K87:P87"/>
    <mergeCell ref="L79:P79"/>
    <mergeCell ref="C65:C86"/>
    <mergeCell ref="D67:D68"/>
    <mergeCell ref="W77:AB77"/>
    <mergeCell ref="K89:M89"/>
    <mergeCell ref="E73:J73"/>
    <mergeCell ref="E30:G30"/>
    <mergeCell ref="K66:M66"/>
    <mergeCell ref="W90:Y90"/>
    <mergeCell ref="Q90:S90"/>
    <mergeCell ref="K77:P77"/>
    <mergeCell ref="Q88:S88"/>
    <mergeCell ref="Z88:AB88"/>
    <mergeCell ref="W88:Y88"/>
    <mergeCell ref="K73:P73"/>
    <mergeCell ref="Q66:R66"/>
    <mergeCell ref="W89:Y89"/>
    <mergeCell ref="K90:M90"/>
    <mergeCell ref="W64:AB64"/>
    <mergeCell ref="Q48:V48"/>
    <mergeCell ref="Q64:V64"/>
    <mergeCell ref="K30:L30"/>
    <mergeCell ref="Q30:V30"/>
    <mergeCell ref="W30:X30"/>
    <mergeCell ref="G79:G80"/>
    <mergeCell ref="G83:G84"/>
    <mergeCell ref="Q98:V98"/>
    <mergeCell ref="D99:D101"/>
    <mergeCell ref="E95:AB95"/>
    <mergeCell ref="E101:H101"/>
    <mergeCell ref="W103:Y103"/>
    <mergeCell ref="K103:M103"/>
    <mergeCell ref="L139:P143"/>
    <mergeCell ref="C19:C30"/>
    <mergeCell ref="D25:D30"/>
    <mergeCell ref="E63:AB63"/>
    <mergeCell ref="D91:D93"/>
    <mergeCell ref="I101:J101"/>
    <mergeCell ref="E98:J98"/>
    <mergeCell ref="K98:P98"/>
    <mergeCell ref="K92:M92"/>
    <mergeCell ref="E92:G92"/>
    <mergeCell ref="Q92:S92"/>
    <mergeCell ref="Z91:AB91"/>
    <mergeCell ref="T91:V91"/>
    <mergeCell ref="E31:AB31"/>
    <mergeCell ref="E74:J76"/>
    <mergeCell ref="W65:Y65"/>
    <mergeCell ref="W66:Y66"/>
    <mergeCell ref="C91:C94"/>
    <mergeCell ref="Q100:S100"/>
    <mergeCell ref="I103:J103"/>
    <mergeCell ref="W100:Y100"/>
    <mergeCell ref="N103:P103"/>
    <mergeCell ref="Q99:V99"/>
    <mergeCell ref="W99:AB99"/>
    <mergeCell ref="W101:Y101"/>
    <mergeCell ref="Z101:AB101"/>
    <mergeCell ref="I104:J104"/>
    <mergeCell ref="Z100:AB100"/>
    <mergeCell ref="T104:V104"/>
    <mergeCell ref="K100:M100"/>
    <mergeCell ref="N100:P100"/>
    <mergeCell ref="K101:M101"/>
    <mergeCell ref="T103:V103"/>
    <mergeCell ref="E102:J102"/>
    <mergeCell ref="K102:P102"/>
    <mergeCell ref="Q102:V102"/>
    <mergeCell ref="W102:AB102"/>
    <mergeCell ref="E103:H103"/>
    <mergeCell ref="B1:AB1"/>
    <mergeCell ref="E18:J18"/>
    <mergeCell ref="K18:P18"/>
    <mergeCell ref="Q18:V18"/>
    <mergeCell ref="W18:AB18"/>
    <mergeCell ref="W2:AB2"/>
    <mergeCell ref="E2:J2"/>
    <mergeCell ref="H88:J88"/>
    <mergeCell ref="E228:G228"/>
    <mergeCell ref="W198:AB198"/>
    <mergeCell ref="Q197:V197"/>
    <mergeCell ref="Q222:V222"/>
    <mergeCell ref="C11:C17"/>
    <mergeCell ref="C228:C232"/>
    <mergeCell ref="D228:D229"/>
    <mergeCell ref="E229:G229"/>
    <mergeCell ref="Q229:V229"/>
    <mergeCell ref="W230:AB230"/>
    <mergeCell ref="Q83:V84"/>
    <mergeCell ref="N88:P88"/>
    <mergeCell ref="T88:V88"/>
    <mergeCell ref="K152:P152"/>
    <mergeCell ref="N101:P101"/>
    <mergeCell ref="T100:V100"/>
    <mergeCell ref="W174:X174"/>
    <mergeCell ref="I100:J100"/>
    <mergeCell ref="Q10:V10"/>
    <mergeCell ref="W10:AB10"/>
    <mergeCell ref="G12:J12"/>
    <mergeCell ref="Y12:AB12"/>
    <mergeCell ref="K26:L26"/>
    <mergeCell ref="W26:X26"/>
    <mergeCell ref="E27:G27"/>
    <mergeCell ref="W28:Y28"/>
    <mergeCell ref="Q104:S104"/>
    <mergeCell ref="M107:O107"/>
    <mergeCell ref="W153:X153"/>
    <mergeCell ref="Q27:V27"/>
    <mergeCell ref="W27:X27"/>
    <mergeCell ref="E28:G28"/>
    <mergeCell ref="K28:M28"/>
    <mergeCell ref="E29:G29"/>
    <mergeCell ref="K29:L29"/>
    <mergeCell ref="W29:X29"/>
    <mergeCell ref="Q32:V32"/>
    <mergeCell ref="E94:AB94"/>
    <mergeCell ref="W98:AB98"/>
    <mergeCell ref="E112:AB112"/>
    <mergeCell ref="B3:B17"/>
    <mergeCell ref="E180:J180"/>
    <mergeCell ref="K2:P2"/>
    <mergeCell ref="E64:J64"/>
    <mergeCell ref="Y4:AB4"/>
    <mergeCell ref="C3:C7"/>
    <mergeCell ref="E10:J10"/>
    <mergeCell ref="K10:P10"/>
    <mergeCell ref="Q89:S89"/>
    <mergeCell ref="Q2:V2"/>
    <mergeCell ref="E8:AB8"/>
    <mergeCell ref="E9:AB9"/>
    <mergeCell ref="E16:AB16"/>
    <mergeCell ref="E17:AB17"/>
    <mergeCell ref="G4:J4"/>
    <mergeCell ref="E32:J32"/>
    <mergeCell ref="W32:AB32"/>
    <mergeCell ref="W67:Y67"/>
    <mergeCell ref="E85:AB85"/>
    <mergeCell ref="K65:M65"/>
    <mergeCell ref="D125:D134"/>
    <mergeCell ref="D115:D124"/>
    <mergeCell ref="D144:D149"/>
    <mergeCell ref="D138:D143"/>
    <mergeCell ref="C275:C276"/>
    <mergeCell ref="C257:C258"/>
    <mergeCell ref="D265:AB265"/>
    <mergeCell ref="E279:J279"/>
    <mergeCell ref="W235:AB235"/>
    <mergeCell ref="W239:AB239"/>
    <mergeCell ref="E239:F239"/>
    <mergeCell ref="G239:J239"/>
    <mergeCell ref="E240:F240"/>
    <mergeCell ref="G240:J240"/>
    <mergeCell ref="Q243:V243"/>
    <mergeCell ref="D241:AB241"/>
    <mergeCell ref="K243:P243"/>
    <mergeCell ref="E243:J243"/>
    <mergeCell ref="D277:AB277"/>
    <mergeCell ref="E273:J273"/>
    <mergeCell ref="K273:P273"/>
    <mergeCell ref="Q273:V273"/>
    <mergeCell ref="W273:AB273"/>
    <mergeCell ref="W255:AB255"/>
    <mergeCell ref="E244:J244"/>
    <mergeCell ref="W237:AB237"/>
    <mergeCell ref="K238:L238"/>
    <mergeCell ref="G237:J237"/>
    <mergeCell ref="C321:C339"/>
    <mergeCell ref="Q326:V326"/>
    <mergeCell ref="K323:M323"/>
    <mergeCell ref="E323:G323"/>
    <mergeCell ref="H323:J323"/>
    <mergeCell ref="N323:P323"/>
    <mergeCell ref="Q322:V322"/>
    <mergeCell ref="E322:G322"/>
    <mergeCell ref="E326:G326"/>
    <mergeCell ref="Q325:V325"/>
    <mergeCell ref="K326:M326"/>
    <mergeCell ref="Q323:V323"/>
    <mergeCell ref="H322:J322"/>
    <mergeCell ref="H324:J324"/>
    <mergeCell ref="Q324:V324"/>
    <mergeCell ref="N326:P327"/>
    <mergeCell ref="H327:J327"/>
    <mergeCell ref="E325:J325"/>
    <mergeCell ref="K325:P325"/>
    <mergeCell ref="K321:P321"/>
    <mergeCell ref="W418:AB418"/>
    <mergeCell ref="E406:J406"/>
    <mergeCell ref="E407:J407"/>
    <mergeCell ref="D412:AB412"/>
    <mergeCell ref="E315:I315"/>
    <mergeCell ref="Q342:V342"/>
    <mergeCell ref="E324:F324"/>
    <mergeCell ref="Q365:V365"/>
    <mergeCell ref="E388:G388"/>
    <mergeCell ref="H388:J388"/>
    <mergeCell ref="K388:M388"/>
    <mergeCell ref="E414:J414"/>
    <mergeCell ref="D356:AB356"/>
    <mergeCell ref="W368:AB368"/>
    <mergeCell ref="W341:AB341"/>
    <mergeCell ref="K344:L344"/>
    <mergeCell ref="K345:L345"/>
    <mergeCell ref="E348:J348"/>
    <mergeCell ref="K366:P366"/>
    <mergeCell ref="H342:J342"/>
    <mergeCell ref="E342:G342"/>
    <mergeCell ref="E320:J320"/>
    <mergeCell ref="D319:AB319"/>
    <mergeCell ref="W414:AB414"/>
    <mergeCell ref="Q420:V420"/>
    <mergeCell ref="W420:AB420"/>
    <mergeCell ref="D418:D420"/>
    <mergeCell ref="D413:AB413"/>
    <mergeCell ref="E422:J424"/>
    <mergeCell ref="Q321:V321"/>
    <mergeCell ref="B363:AB364"/>
    <mergeCell ref="E327:G327"/>
    <mergeCell ref="E370:J370"/>
    <mergeCell ref="K391:M391"/>
    <mergeCell ref="N391:P391"/>
    <mergeCell ref="W391:AB391"/>
    <mergeCell ref="K370:P370"/>
    <mergeCell ref="E386:F386"/>
    <mergeCell ref="Q371:V371"/>
    <mergeCell ref="N387:P387"/>
    <mergeCell ref="Q387:V387"/>
    <mergeCell ref="E405:J405"/>
    <mergeCell ref="N388:P388"/>
    <mergeCell ref="Q388:V388"/>
    <mergeCell ref="E371:G371"/>
    <mergeCell ref="Q407:V407"/>
    <mergeCell ref="E365:J365"/>
    <mergeCell ref="Q414:V414"/>
    <mergeCell ref="B432:B433"/>
    <mergeCell ref="E432:J432"/>
    <mergeCell ref="E433:J433"/>
    <mergeCell ref="K433:P433"/>
    <mergeCell ref="Q433:V433"/>
    <mergeCell ref="K432:P432"/>
    <mergeCell ref="Q432:V432"/>
    <mergeCell ref="W433:AB433"/>
    <mergeCell ref="D430:AB430"/>
    <mergeCell ref="D431:AB431"/>
    <mergeCell ref="W432:AB432"/>
    <mergeCell ref="Q236:V236"/>
    <mergeCell ref="Q237:V237"/>
    <mergeCell ref="Q234:V234"/>
    <mergeCell ref="E236:F236"/>
    <mergeCell ref="G236:J236"/>
    <mergeCell ref="K236:L236"/>
    <mergeCell ref="B366:B422"/>
    <mergeCell ref="E408:J408"/>
    <mergeCell ref="Q405:V405"/>
    <mergeCell ref="Q406:V406"/>
    <mergeCell ref="K407:P407"/>
    <mergeCell ref="K406:P406"/>
    <mergeCell ref="D366:D368"/>
    <mergeCell ref="E418:G418"/>
    <mergeCell ref="H418:J418"/>
    <mergeCell ref="Q418:V418"/>
    <mergeCell ref="K419:P419"/>
    <mergeCell ref="K415:P415"/>
    <mergeCell ref="E419:G419"/>
    <mergeCell ref="H419:J419"/>
    <mergeCell ref="C415:C429"/>
    <mergeCell ref="K414:P414"/>
    <mergeCell ref="Q305:V305"/>
    <mergeCell ref="E420:G420"/>
    <mergeCell ref="E227:J227"/>
    <mergeCell ref="K255:P255"/>
    <mergeCell ref="W249:AB249"/>
    <mergeCell ref="W307:AB307"/>
    <mergeCell ref="Q306:V306"/>
    <mergeCell ref="Q230:V230"/>
    <mergeCell ref="K228:M228"/>
    <mergeCell ref="E230:G230"/>
    <mergeCell ref="H230:J230"/>
    <mergeCell ref="W231:AB231"/>
    <mergeCell ref="E235:F235"/>
    <mergeCell ref="G235:J235"/>
    <mergeCell ref="K235:L235"/>
    <mergeCell ref="M235:P235"/>
    <mergeCell ref="Q235:V235"/>
    <mergeCell ref="D278:AB278"/>
    <mergeCell ref="M239:P239"/>
    <mergeCell ref="D232:AB232"/>
    <mergeCell ref="D233:AB233"/>
    <mergeCell ref="K244:P244"/>
    <mergeCell ref="K261:P261"/>
    <mergeCell ref="Q261:V261"/>
    <mergeCell ref="D260:AB260"/>
    <mergeCell ref="N231:P231"/>
    <mergeCell ref="Z103:AB103"/>
    <mergeCell ref="E104:H104"/>
    <mergeCell ref="E107:J107"/>
    <mergeCell ref="G170:J170"/>
    <mergeCell ref="G169:J169"/>
    <mergeCell ref="E168:J168"/>
    <mergeCell ref="E170:F170"/>
    <mergeCell ref="W104:Y104"/>
    <mergeCell ref="W157:X157"/>
    <mergeCell ref="Y157:AB157"/>
    <mergeCell ref="M155:P155"/>
    <mergeCell ref="Q155:R155"/>
    <mergeCell ref="S155:V155"/>
    <mergeCell ref="L116:P119"/>
    <mergeCell ref="L121:P124"/>
    <mergeCell ref="Q103:S103"/>
    <mergeCell ref="K104:M104"/>
    <mergeCell ref="N104:P104"/>
    <mergeCell ref="K111:P111"/>
    <mergeCell ref="Q137:V137"/>
    <mergeCell ref="W137:AB137"/>
    <mergeCell ref="E137:J137"/>
    <mergeCell ref="K137:P137"/>
    <mergeCell ref="Q114:V114"/>
    <mergeCell ref="K157:L157"/>
    <mergeCell ref="Y153:AB153"/>
    <mergeCell ref="W152:AB152"/>
    <mergeCell ref="D344:D345"/>
    <mergeCell ref="K303:P303"/>
    <mergeCell ref="K320:P320"/>
    <mergeCell ref="K304:P304"/>
    <mergeCell ref="M236:P236"/>
    <mergeCell ref="W236:AB236"/>
    <mergeCell ref="Q156:R156"/>
    <mergeCell ref="M156:P156"/>
    <mergeCell ref="Y174:AB174"/>
    <mergeCell ref="W261:AB261"/>
    <mergeCell ref="Q238:V238"/>
    <mergeCell ref="W238:AB238"/>
    <mergeCell ref="M238:P238"/>
    <mergeCell ref="E251:J251"/>
    <mergeCell ref="D254:AB254"/>
    <mergeCell ref="Q249:V249"/>
    <mergeCell ref="E261:J261"/>
    <mergeCell ref="D253:AB253"/>
    <mergeCell ref="K249:P249"/>
    <mergeCell ref="E249:J249"/>
    <mergeCell ref="D259:AB259"/>
    <mergeCell ref="W342:AB342"/>
    <mergeCell ref="H326:J326"/>
    <mergeCell ref="K237:L237"/>
    <mergeCell ref="S174:V174"/>
    <mergeCell ref="K188:P188"/>
    <mergeCell ref="H91:J91"/>
    <mergeCell ref="G156:J156"/>
    <mergeCell ref="E157:F157"/>
    <mergeCell ref="G157:J157"/>
    <mergeCell ref="E114:J114"/>
    <mergeCell ref="F139:J143"/>
    <mergeCell ref="E156:F156"/>
    <mergeCell ref="F116:J119"/>
    <mergeCell ref="F121:J124"/>
    <mergeCell ref="E152:J152"/>
    <mergeCell ref="E135:AB135"/>
    <mergeCell ref="E136:AB136"/>
    <mergeCell ref="W114:AB114"/>
    <mergeCell ref="Z104:AB104"/>
    <mergeCell ref="Q101:S101"/>
    <mergeCell ref="T101:V101"/>
    <mergeCell ref="Q154:R154"/>
    <mergeCell ref="Q153:R153"/>
    <mergeCell ref="M154:P154"/>
    <mergeCell ref="G289:J289"/>
    <mergeCell ref="K289:M289"/>
    <mergeCell ref="N289:P289"/>
    <mergeCell ref="Q289:V289"/>
    <mergeCell ref="Q286:V286"/>
    <mergeCell ref="G287:J287"/>
    <mergeCell ref="G288:J288"/>
    <mergeCell ref="Q290:V290"/>
    <mergeCell ref="N287:P287"/>
    <mergeCell ref="H346:J346"/>
    <mergeCell ref="Q346:V346"/>
    <mergeCell ref="W346:AB346"/>
    <mergeCell ref="H344:J344"/>
    <mergeCell ref="Q344:V344"/>
    <mergeCell ref="W344:AB344"/>
    <mergeCell ref="E345:G345"/>
    <mergeCell ref="W345:AB345"/>
    <mergeCell ref="E346:G346"/>
    <mergeCell ref="N344:P345"/>
    <mergeCell ref="W222:AB222"/>
    <mergeCell ref="H228:J228"/>
    <mergeCell ref="K343:P343"/>
    <mergeCell ref="Q343:V343"/>
    <mergeCell ref="W343:AB343"/>
    <mergeCell ref="B96:AB97"/>
    <mergeCell ref="E328:G328"/>
    <mergeCell ref="H328:J328"/>
    <mergeCell ref="K328:M328"/>
    <mergeCell ref="N328:P328"/>
    <mergeCell ref="W328:AB328"/>
    <mergeCell ref="K279:P279"/>
    <mergeCell ref="Q279:V279"/>
    <mergeCell ref="E305:F305"/>
    <mergeCell ref="Q152:V152"/>
    <mergeCell ref="W197:AB197"/>
    <mergeCell ref="W309:AB309"/>
    <mergeCell ref="E255:J255"/>
    <mergeCell ref="W323:AB323"/>
    <mergeCell ref="K324:M324"/>
    <mergeCell ref="N324:P324"/>
    <mergeCell ref="N291:P292"/>
    <mergeCell ref="E113:AB113"/>
    <mergeCell ref="B228:B240"/>
    <mergeCell ref="I193:J193"/>
    <mergeCell ref="K227:P227"/>
    <mergeCell ref="Q227:V227"/>
    <mergeCell ref="E231:G231"/>
    <mergeCell ref="E205:J205"/>
    <mergeCell ref="K205:P205"/>
    <mergeCell ref="Q205:V205"/>
    <mergeCell ref="Q231:V231"/>
    <mergeCell ref="N228:P228"/>
    <mergeCell ref="K231:M231"/>
    <mergeCell ref="Q199:V199"/>
    <mergeCell ref="D196:AB196"/>
    <mergeCell ref="H231:J231"/>
    <mergeCell ref="Q228:V228"/>
    <mergeCell ref="E197:J197"/>
    <mergeCell ref="K197:P197"/>
    <mergeCell ref="K198:P198"/>
    <mergeCell ref="Q198:V198"/>
    <mergeCell ref="E221:J221"/>
    <mergeCell ref="E194:H194"/>
    <mergeCell ref="B225:AB226"/>
    <mergeCell ref="E223:AB224"/>
    <mergeCell ref="H229:J229"/>
    <mergeCell ref="C198:C203"/>
    <mergeCell ref="B20:B63"/>
    <mergeCell ref="C341:C355"/>
    <mergeCell ref="E357:AB357"/>
    <mergeCell ref="W155:X155"/>
    <mergeCell ref="Y155:AB155"/>
    <mergeCell ref="E158:F158"/>
    <mergeCell ref="G158:J158"/>
    <mergeCell ref="K158:L158"/>
    <mergeCell ref="M158:P158"/>
    <mergeCell ref="Q158:R158"/>
    <mergeCell ref="W158:X158"/>
    <mergeCell ref="Y158:AB158"/>
    <mergeCell ref="D156:D158"/>
    <mergeCell ref="E160:J163"/>
    <mergeCell ref="E171:F171"/>
    <mergeCell ref="G171:J171"/>
    <mergeCell ref="K171:L171"/>
    <mergeCell ref="Q171:R171"/>
    <mergeCell ref="S171:V171"/>
    <mergeCell ref="W171:X171"/>
    <mergeCell ref="Y171:AB171"/>
    <mergeCell ref="K322:M322"/>
    <mergeCell ref="C187:C196"/>
    <mergeCell ref="E193:H193"/>
  </mergeCells>
  <phoneticPr fontId="0" type="noConversion"/>
  <hyperlinks>
    <hyperlink ref="C187" location="_ftn1" display="_ftn1"/>
  </hyperlinks>
  <pageMargins left="0.35000000000000003" right="0.35000000000000003" top="0.79000000000000015" bottom="0.79000000000000015" header="0.12000000000000001" footer="0.12000000000000001"/>
  <pageSetup paperSize="8" scale="53" fitToHeight="0" orientation="landscape" r:id="rId1"/>
  <headerFooter>
    <oddFooter>&amp;F&amp;RPage &amp;P</oddFooter>
  </headerFooter>
  <rowBreaks count="6" manualBreakCount="6">
    <brk id="63" min="1" max="27" man="1"/>
    <brk id="96" max="16383" man="1"/>
    <brk id="196" min="1" max="27" man="1"/>
    <brk id="248" min="1" max="27" man="1"/>
    <brk id="283" min="1" max="27" man="1"/>
    <brk id="363"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4"/>
  <sheetViews>
    <sheetView topLeftCell="A34" workbookViewId="0">
      <selection activeCell="N49" sqref="N49"/>
    </sheetView>
  </sheetViews>
  <sheetFormatPr defaultColWidth="8.85546875" defaultRowHeight="12.75" x14ac:dyDescent="0.2"/>
  <sheetData>
    <row r="1" spans="1:61" ht="15" x14ac:dyDescent="0.25">
      <c r="A1" s="146" t="s">
        <v>616</v>
      </c>
      <c r="B1" s="146"/>
      <c r="C1" s="146"/>
      <c r="D1" s="146"/>
      <c r="E1" s="146"/>
      <c r="F1" s="146"/>
      <c r="G1" s="146"/>
      <c r="H1" s="146"/>
      <c r="I1" s="146"/>
      <c r="J1" s="146"/>
    </row>
    <row r="4" spans="1:61" ht="18.75" x14ac:dyDescent="0.3">
      <c r="A4" s="186" t="s">
        <v>617</v>
      </c>
    </row>
    <row r="5" spans="1:61" ht="13.5" thickBot="1" x14ac:dyDescent="0.25"/>
    <row r="6" spans="1:61" ht="45" x14ac:dyDescent="0.25">
      <c r="A6" s="139"/>
      <c r="B6" s="187" t="s">
        <v>618</v>
      </c>
      <c r="C6" s="187" t="s">
        <v>619</v>
      </c>
      <c r="D6" s="187" t="s">
        <v>620</v>
      </c>
      <c r="E6" s="187" t="s">
        <v>621</v>
      </c>
      <c r="F6" s="187" t="s">
        <v>622</v>
      </c>
      <c r="G6" s="187" t="s">
        <v>623</v>
      </c>
      <c r="H6" s="187" t="s">
        <v>624</v>
      </c>
      <c r="I6" s="187" t="s">
        <v>625</v>
      </c>
      <c r="J6" s="187" t="s">
        <v>626</v>
      </c>
      <c r="K6" s="187" t="s">
        <v>627</v>
      </c>
      <c r="L6" s="187" t="s">
        <v>628</v>
      </c>
      <c r="M6" s="187" t="s">
        <v>629</v>
      </c>
      <c r="N6" s="188" t="s">
        <v>630</v>
      </c>
      <c r="O6" s="188" t="s">
        <v>631</v>
      </c>
      <c r="P6" s="189" t="s">
        <v>632</v>
      </c>
      <c r="Q6" s="190" t="s">
        <v>633</v>
      </c>
      <c r="R6" s="190" t="s">
        <v>634</v>
      </c>
      <c r="S6" s="190" t="s">
        <v>635</v>
      </c>
      <c r="T6" s="190" t="s">
        <v>636</v>
      </c>
      <c r="U6" s="190" t="s">
        <v>637</v>
      </c>
      <c r="V6" s="190" t="s">
        <v>638</v>
      </c>
      <c r="W6" s="190" t="s">
        <v>639</v>
      </c>
      <c r="X6" s="190" t="s">
        <v>640</v>
      </c>
      <c r="Y6" s="190" t="s">
        <v>641</v>
      </c>
      <c r="Z6" s="190" t="s">
        <v>642</v>
      </c>
      <c r="AA6" s="190" t="s">
        <v>643</v>
      </c>
      <c r="AB6" s="190" t="s">
        <v>644</v>
      </c>
      <c r="AC6" s="188" t="s">
        <v>645</v>
      </c>
      <c r="AD6" s="188" t="s">
        <v>646</v>
      </c>
      <c r="AE6" s="189" t="s">
        <v>647</v>
      </c>
      <c r="AF6" s="191" t="s">
        <v>648</v>
      </c>
      <c r="AG6" s="191" t="s">
        <v>649</v>
      </c>
      <c r="AH6" s="191" t="s">
        <v>650</v>
      </c>
      <c r="AI6" s="191" t="s">
        <v>651</v>
      </c>
      <c r="AJ6" s="191" t="s">
        <v>652</v>
      </c>
      <c r="AK6" s="191" t="s">
        <v>653</v>
      </c>
      <c r="AL6" s="191" t="s">
        <v>654</v>
      </c>
      <c r="AM6" s="191" t="s">
        <v>655</v>
      </c>
      <c r="AN6" s="191" t="s">
        <v>656</v>
      </c>
      <c r="AO6" s="191" t="s">
        <v>657</v>
      </c>
      <c r="AP6" s="191" t="s">
        <v>658</v>
      </c>
      <c r="AQ6" s="191" t="s">
        <v>659</v>
      </c>
      <c r="AR6" s="188" t="s">
        <v>660</v>
      </c>
      <c r="AS6" s="188" t="s">
        <v>661</v>
      </c>
      <c r="AT6" s="189" t="s">
        <v>662</v>
      </c>
      <c r="AU6" s="192" t="s">
        <v>663</v>
      </c>
      <c r="AV6" s="192" t="s">
        <v>664</v>
      </c>
      <c r="AW6" s="192" t="s">
        <v>665</v>
      </c>
      <c r="AX6" s="192" t="s">
        <v>666</v>
      </c>
      <c r="AY6" s="192" t="s">
        <v>667</v>
      </c>
      <c r="AZ6" s="192" t="s">
        <v>668</v>
      </c>
      <c r="BA6" s="192" t="s">
        <v>669</v>
      </c>
      <c r="BB6" s="192" t="s">
        <v>670</v>
      </c>
      <c r="BC6" s="192" t="s">
        <v>671</v>
      </c>
      <c r="BD6" s="192" t="s">
        <v>672</v>
      </c>
      <c r="BE6" s="192" t="s">
        <v>673</v>
      </c>
      <c r="BF6" s="192" t="s">
        <v>674</v>
      </c>
      <c r="BG6" s="193" t="s">
        <v>675</v>
      </c>
      <c r="BH6" s="193" t="s">
        <v>676</v>
      </c>
      <c r="BI6" s="194" t="s">
        <v>677</v>
      </c>
    </row>
    <row r="7" spans="1:61" ht="15" x14ac:dyDescent="0.25">
      <c r="A7" s="195" t="s">
        <v>678</v>
      </c>
      <c r="B7" s="196">
        <v>1</v>
      </c>
      <c r="C7" s="196">
        <v>0</v>
      </c>
      <c r="D7" s="196">
        <v>3</v>
      </c>
      <c r="E7" s="196">
        <v>0</v>
      </c>
      <c r="F7" s="196">
        <v>5</v>
      </c>
      <c r="G7" s="196">
        <v>1</v>
      </c>
      <c r="H7" s="196">
        <v>0</v>
      </c>
      <c r="I7" s="196">
        <v>1</v>
      </c>
      <c r="J7" s="196">
        <v>2</v>
      </c>
      <c r="K7" s="196">
        <v>1</v>
      </c>
      <c r="L7" s="196">
        <v>1</v>
      </c>
      <c r="M7" s="196">
        <v>3</v>
      </c>
      <c r="N7" s="197">
        <f t="shared" ref="N7:O9" si="0">B7+D7+F7+H7+J7+L7</f>
        <v>12</v>
      </c>
      <c r="O7" s="197">
        <f t="shared" si="0"/>
        <v>6</v>
      </c>
      <c r="P7" s="198">
        <f>SUM(B7:M7)</f>
        <v>18</v>
      </c>
      <c r="Q7" s="196">
        <v>0</v>
      </c>
      <c r="R7" s="196">
        <v>1</v>
      </c>
      <c r="S7" s="196">
        <v>3</v>
      </c>
      <c r="T7" s="196">
        <v>3</v>
      </c>
      <c r="U7" s="196">
        <v>5</v>
      </c>
      <c r="V7" s="196">
        <v>0</v>
      </c>
      <c r="W7" s="196">
        <v>2</v>
      </c>
      <c r="X7" s="196">
        <v>0</v>
      </c>
      <c r="Y7" s="196">
        <v>2</v>
      </c>
      <c r="Z7" s="196">
        <v>1</v>
      </c>
      <c r="AA7" s="196">
        <v>3</v>
      </c>
      <c r="AB7" s="196">
        <v>0</v>
      </c>
      <c r="AC7" s="197">
        <f t="shared" ref="AC7:AD9" si="1">Q7+S7+U7+W7+Y7+AA7</f>
        <v>15</v>
      </c>
      <c r="AD7" s="197">
        <f t="shared" si="1"/>
        <v>5</v>
      </c>
      <c r="AE7" s="198">
        <f>SUM(Q7:AB7)</f>
        <v>20</v>
      </c>
      <c r="AF7" s="196">
        <v>4</v>
      </c>
      <c r="AG7" s="196">
        <v>1</v>
      </c>
      <c r="AH7" s="196">
        <v>3</v>
      </c>
      <c r="AI7" s="196">
        <v>2</v>
      </c>
      <c r="AJ7" s="196">
        <v>5</v>
      </c>
      <c r="AK7" s="196">
        <v>1</v>
      </c>
      <c r="AL7" s="196">
        <v>1</v>
      </c>
      <c r="AM7" s="196">
        <v>2</v>
      </c>
      <c r="AN7" s="196">
        <v>3</v>
      </c>
      <c r="AO7" s="196">
        <v>1</v>
      </c>
      <c r="AP7" s="196">
        <v>1</v>
      </c>
      <c r="AQ7" s="196">
        <v>1</v>
      </c>
      <c r="AR7" s="197">
        <f t="shared" ref="AR7:AS9" si="2">AF7+AH7+AJ7+AL7+AN7+AP7</f>
        <v>17</v>
      </c>
      <c r="AS7" s="197">
        <f t="shared" si="2"/>
        <v>8</v>
      </c>
      <c r="AT7" s="198">
        <f>SUM(AF7:AQ7)</f>
        <v>25</v>
      </c>
      <c r="AU7" s="196">
        <v>6</v>
      </c>
      <c r="AV7" s="196">
        <v>2</v>
      </c>
      <c r="AW7" s="196">
        <v>10</v>
      </c>
      <c r="AX7" s="196">
        <v>0</v>
      </c>
      <c r="AY7" s="196">
        <v>5</v>
      </c>
      <c r="AZ7" s="196">
        <v>1</v>
      </c>
      <c r="BA7" s="196">
        <v>3</v>
      </c>
      <c r="BB7" s="196">
        <v>3</v>
      </c>
      <c r="BC7" s="196">
        <v>3</v>
      </c>
      <c r="BD7" s="196">
        <v>1</v>
      </c>
      <c r="BE7" s="196">
        <v>2</v>
      </c>
      <c r="BF7" s="196">
        <v>1</v>
      </c>
      <c r="BG7" s="197">
        <f t="shared" ref="BG7:BH9" si="3">AU7+AW7+AY7+BA7+BC7+BE7</f>
        <v>29</v>
      </c>
      <c r="BH7" s="197">
        <f t="shared" si="3"/>
        <v>8</v>
      </c>
      <c r="BI7" s="198">
        <f>SUM(AU7:BF7)</f>
        <v>37</v>
      </c>
    </row>
    <row r="8" spans="1:61" ht="15" x14ac:dyDescent="0.25">
      <c r="A8" s="195" t="s">
        <v>679</v>
      </c>
      <c r="B8" s="196">
        <v>16</v>
      </c>
      <c r="C8" s="196">
        <v>13</v>
      </c>
      <c r="D8" s="196">
        <v>3</v>
      </c>
      <c r="E8" s="196">
        <v>2</v>
      </c>
      <c r="F8" s="196">
        <v>4</v>
      </c>
      <c r="G8" s="196">
        <v>3</v>
      </c>
      <c r="H8" s="196">
        <v>8</v>
      </c>
      <c r="I8" s="196">
        <v>7</v>
      </c>
      <c r="J8" s="196">
        <v>5</v>
      </c>
      <c r="K8" s="196">
        <v>10</v>
      </c>
      <c r="L8" s="196">
        <v>6</v>
      </c>
      <c r="M8" s="196">
        <v>9</v>
      </c>
      <c r="N8" s="197">
        <f t="shared" si="0"/>
        <v>42</v>
      </c>
      <c r="O8" s="197">
        <f t="shared" si="0"/>
        <v>44</v>
      </c>
      <c r="P8" s="198">
        <f t="shared" ref="P8:P30" si="4">SUM(B8:M8)</f>
        <v>86</v>
      </c>
      <c r="Q8" s="196">
        <v>129</v>
      </c>
      <c r="R8" s="196">
        <v>99</v>
      </c>
      <c r="S8" s="196">
        <v>108</v>
      </c>
      <c r="T8" s="196">
        <v>77</v>
      </c>
      <c r="U8" s="196">
        <v>121</v>
      </c>
      <c r="V8" s="196">
        <v>69</v>
      </c>
      <c r="W8" s="196">
        <v>91</v>
      </c>
      <c r="X8" s="196">
        <v>77</v>
      </c>
      <c r="Y8" s="196">
        <v>72</v>
      </c>
      <c r="Z8" s="196">
        <v>66</v>
      </c>
      <c r="AA8" s="196">
        <v>88</v>
      </c>
      <c r="AB8" s="196">
        <v>64</v>
      </c>
      <c r="AC8" s="197">
        <f t="shared" si="1"/>
        <v>609</v>
      </c>
      <c r="AD8" s="197">
        <f t="shared" si="1"/>
        <v>452</v>
      </c>
      <c r="AE8" s="198">
        <f t="shared" ref="AE8:AE30" si="5">SUM(Q8:AB8)</f>
        <v>1061</v>
      </c>
      <c r="AF8" s="196">
        <v>23</v>
      </c>
      <c r="AG8" s="196">
        <v>15</v>
      </c>
      <c r="AH8" s="196">
        <v>16</v>
      </c>
      <c r="AI8" s="196">
        <v>18</v>
      </c>
      <c r="AJ8" s="196">
        <v>11</v>
      </c>
      <c r="AK8" s="196">
        <v>13</v>
      </c>
      <c r="AL8" s="196">
        <v>30</v>
      </c>
      <c r="AM8" s="196">
        <v>12</v>
      </c>
      <c r="AN8" s="196">
        <v>13</v>
      </c>
      <c r="AO8" s="196">
        <v>8</v>
      </c>
      <c r="AP8" s="196">
        <v>7</v>
      </c>
      <c r="AQ8" s="196">
        <v>2</v>
      </c>
      <c r="AR8" s="197">
        <f t="shared" si="2"/>
        <v>100</v>
      </c>
      <c r="AS8" s="197">
        <f t="shared" si="2"/>
        <v>68</v>
      </c>
      <c r="AT8" s="198">
        <f t="shared" ref="AT8:AT30" si="6">SUM(AF8:AQ8)</f>
        <v>168</v>
      </c>
      <c r="AU8" s="196">
        <v>175</v>
      </c>
      <c r="AV8" s="196">
        <v>105</v>
      </c>
      <c r="AW8" s="196">
        <v>65</v>
      </c>
      <c r="AX8" s="196">
        <v>28</v>
      </c>
      <c r="AY8" s="196">
        <v>48</v>
      </c>
      <c r="AZ8" s="196">
        <v>26</v>
      </c>
      <c r="BA8" s="196">
        <v>30</v>
      </c>
      <c r="BB8" s="196">
        <v>29</v>
      </c>
      <c r="BC8" s="196">
        <v>14</v>
      </c>
      <c r="BD8" s="196">
        <v>18</v>
      </c>
      <c r="BE8" s="196">
        <v>8</v>
      </c>
      <c r="BF8" s="196">
        <v>15</v>
      </c>
      <c r="BG8" s="197">
        <f t="shared" si="3"/>
        <v>340</v>
      </c>
      <c r="BH8" s="197">
        <f t="shared" si="3"/>
        <v>221</v>
      </c>
      <c r="BI8" s="198">
        <f t="shared" ref="BI8:BI30" si="7">SUM(AU8:BF8)</f>
        <v>561</v>
      </c>
    </row>
    <row r="9" spans="1:61" ht="15" x14ac:dyDescent="0.25">
      <c r="A9" s="195" t="s">
        <v>680</v>
      </c>
      <c r="B9" s="196">
        <v>4</v>
      </c>
      <c r="C9" s="196">
        <v>8</v>
      </c>
      <c r="D9" s="196">
        <v>5</v>
      </c>
      <c r="E9" s="196">
        <v>1</v>
      </c>
      <c r="F9" s="196">
        <v>3</v>
      </c>
      <c r="G9" s="196">
        <v>7</v>
      </c>
      <c r="H9" s="196">
        <v>6</v>
      </c>
      <c r="I9" s="196">
        <v>2</v>
      </c>
      <c r="J9" s="196">
        <v>9</v>
      </c>
      <c r="K9" s="196">
        <v>6</v>
      </c>
      <c r="L9" s="196">
        <v>7</v>
      </c>
      <c r="M9" s="196">
        <v>12</v>
      </c>
      <c r="N9" s="197">
        <f t="shared" si="0"/>
        <v>34</v>
      </c>
      <c r="O9" s="197">
        <f t="shared" si="0"/>
        <v>36</v>
      </c>
      <c r="P9" s="198">
        <f t="shared" si="4"/>
        <v>70</v>
      </c>
      <c r="Q9" s="196">
        <v>20</v>
      </c>
      <c r="R9" s="196">
        <v>15</v>
      </c>
      <c r="S9" s="196">
        <v>16</v>
      </c>
      <c r="T9" s="196">
        <v>14</v>
      </c>
      <c r="U9" s="196">
        <v>12</v>
      </c>
      <c r="V9" s="196">
        <v>5</v>
      </c>
      <c r="W9" s="196">
        <v>12</v>
      </c>
      <c r="X9" s="196">
        <v>11</v>
      </c>
      <c r="Y9" s="196">
        <v>8</v>
      </c>
      <c r="Z9" s="196">
        <v>9</v>
      </c>
      <c r="AA9" s="196">
        <v>12</v>
      </c>
      <c r="AB9" s="196">
        <v>7</v>
      </c>
      <c r="AC9" s="197">
        <f t="shared" si="1"/>
        <v>80</v>
      </c>
      <c r="AD9" s="197">
        <f t="shared" si="1"/>
        <v>61</v>
      </c>
      <c r="AE9" s="198">
        <f t="shared" si="5"/>
        <v>141</v>
      </c>
      <c r="AF9" s="196">
        <v>14</v>
      </c>
      <c r="AG9" s="196">
        <v>19</v>
      </c>
      <c r="AH9" s="196">
        <v>14</v>
      </c>
      <c r="AI9" s="196">
        <v>12</v>
      </c>
      <c r="AJ9" s="196">
        <v>21</v>
      </c>
      <c r="AK9" s="196">
        <v>20</v>
      </c>
      <c r="AL9" s="196">
        <v>19</v>
      </c>
      <c r="AM9" s="196">
        <v>14</v>
      </c>
      <c r="AN9" s="196">
        <v>7</v>
      </c>
      <c r="AO9" s="196">
        <v>10</v>
      </c>
      <c r="AP9" s="196">
        <v>7</v>
      </c>
      <c r="AQ9" s="196">
        <v>7</v>
      </c>
      <c r="AR9" s="197">
        <f t="shared" si="2"/>
        <v>82</v>
      </c>
      <c r="AS9" s="197">
        <f t="shared" si="2"/>
        <v>82</v>
      </c>
      <c r="AT9" s="198">
        <f t="shared" si="6"/>
        <v>164</v>
      </c>
      <c r="AU9" s="196">
        <v>18</v>
      </c>
      <c r="AV9" s="196">
        <v>20</v>
      </c>
      <c r="AW9" s="196">
        <v>25</v>
      </c>
      <c r="AX9" s="196">
        <v>10</v>
      </c>
      <c r="AY9" s="196">
        <v>16</v>
      </c>
      <c r="AZ9" s="196">
        <v>6</v>
      </c>
      <c r="BA9" s="196">
        <v>4</v>
      </c>
      <c r="BB9" s="196">
        <v>6</v>
      </c>
      <c r="BC9" s="196">
        <v>1</v>
      </c>
      <c r="BD9" s="196">
        <v>2</v>
      </c>
      <c r="BE9" s="196">
        <v>2</v>
      </c>
      <c r="BF9" s="196">
        <v>2</v>
      </c>
      <c r="BG9" s="197">
        <f t="shared" si="3"/>
        <v>66</v>
      </c>
      <c r="BH9" s="197">
        <f t="shared" si="3"/>
        <v>46</v>
      </c>
      <c r="BI9" s="198">
        <f t="shared" si="7"/>
        <v>112</v>
      </c>
    </row>
    <row r="10" spans="1:61" ht="15" x14ac:dyDescent="0.25">
      <c r="A10" s="199" t="s">
        <v>681</v>
      </c>
      <c r="B10" s="200">
        <v>1</v>
      </c>
      <c r="C10" s="200">
        <v>3</v>
      </c>
      <c r="D10" s="200">
        <v>1</v>
      </c>
      <c r="E10" s="200">
        <v>1</v>
      </c>
      <c r="F10" s="200">
        <v>4</v>
      </c>
      <c r="G10" s="200">
        <v>0</v>
      </c>
      <c r="H10" s="200">
        <v>0</v>
      </c>
      <c r="I10" s="200">
        <v>0</v>
      </c>
      <c r="J10" s="200">
        <v>0</v>
      </c>
      <c r="K10" s="200">
        <v>1</v>
      </c>
      <c r="L10" s="200">
        <v>0</v>
      </c>
      <c r="M10" s="200">
        <v>0</v>
      </c>
      <c r="N10" s="197"/>
      <c r="O10" s="197"/>
      <c r="P10" s="198">
        <f t="shared" si="4"/>
        <v>11</v>
      </c>
      <c r="Q10" s="201">
        <v>4</v>
      </c>
      <c r="R10" s="201">
        <v>6</v>
      </c>
      <c r="S10" s="201">
        <v>2</v>
      </c>
      <c r="T10" s="201">
        <v>1</v>
      </c>
      <c r="U10" s="201">
        <v>2</v>
      </c>
      <c r="V10" s="201">
        <v>4</v>
      </c>
      <c r="W10" s="201">
        <v>5</v>
      </c>
      <c r="X10" s="201">
        <v>1</v>
      </c>
      <c r="Y10" s="201">
        <v>7</v>
      </c>
      <c r="Z10" s="201">
        <v>1</v>
      </c>
      <c r="AA10" s="201">
        <v>3</v>
      </c>
      <c r="AB10" s="201">
        <v>9</v>
      </c>
      <c r="AC10" s="197"/>
      <c r="AD10" s="197"/>
      <c r="AE10" s="198">
        <f t="shared" si="5"/>
        <v>45</v>
      </c>
      <c r="AF10" s="202">
        <v>5</v>
      </c>
      <c r="AG10" s="202">
        <v>5</v>
      </c>
      <c r="AH10" s="202">
        <v>4</v>
      </c>
      <c r="AI10" s="202">
        <v>2</v>
      </c>
      <c r="AJ10" s="202">
        <v>6</v>
      </c>
      <c r="AK10" s="202">
        <v>5</v>
      </c>
      <c r="AL10" s="202">
        <v>7</v>
      </c>
      <c r="AM10" s="202">
        <v>1</v>
      </c>
      <c r="AN10" s="202">
        <v>6</v>
      </c>
      <c r="AO10" s="202">
        <v>1</v>
      </c>
      <c r="AP10" s="202">
        <v>2</v>
      </c>
      <c r="AQ10" s="202">
        <v>2</v>
      </c>
      <c r="AR10" s="197"/>
      <c r="AS10" s="197"/>
      <c r="AT10" s="198">
        <f t="shared" si="6"/>
        <v>46</v>
      </c>
      <c r="AU10" s="203">
        <v>4</v>
      </c>
      <c r="AV10" s="203">
        <v>0</v>
      </c>
      <c r="AW10" s="203">
        <v>3</v>
      </c>
      <c r="AX10" s="203">
        <v>3</v>
      </c>
      <c r="AY10" s="203">
        <v>4</v>
      </c>
      <c r="AZ10" s="203">
        <v>4</v>
      </c>
      <c r="BA10" s="203">
        <v>1</v>
      </c>
      <c r="BB10" s="203">
        <v>2</v>
      </c>
      <c r="BC10" s="203">
        <v>2</v>
      </c>
      <c r="BD10" s="203">
        <v>2</v>
      </c>
      <c r="BE10" s="203">
        <v>2</v>
      </c>
      <c r="BF10" s="203">
        <v>2</v>
      </c>
      <c r="BG10" s="197"/>
      <c r="BH10" s="197"/>
      <c r="BI10" s="198">
        <f t="shared" si="7"/>
        <v>29</v>
      </c>
    </row>
    <row r="11" spans="1:61" ht="15" x14ac:dyDescent="0.25">
      <c r="A11" s="199" t="s">
        <v>682</v>
      </c>
      <c r="B11" s="200">
        <v>0</v>
      </c>
      <c r="C11" s="200">
        <v>1</v>
      </c>
      <c r="D11" s="200">
        <v>1</v>
      </c>
      <c r="E11" s="200">
        <v>1</v>
      </c>
      <c r="F11" s="200">
        <v>5</v>
      </c>
      <c r="G11" s="200">
        <v>2</v>
      </c>
      <c r="H11" s="200">
        <v>3</v>
      </c>
      <c r="I11" s="200">
        <v>0</v>
      </c>
      <c r="J11" s="200">
        <v>2</v>
      </c>
      <c r="K11" s="200">
        <v>2</v>
      </c>
      <c r="L11" s="200">
        <v>0</v>
      </c>
      <c r="M11" s="200">
        <v>1</v>
      </c>
      <c r="N11" s="197"/>
      <c r="O11" s="197"/>
      <c r="P11" s="198">
        <f t="shared" si="4"/>
        <v>18</v>
      </c>
      <c r="Q11" s="201">
        <v>8</v>
      </c>
      <c r="R11" s="201">
        <v>34</v>
      </c>
      <c r="S11" s="201">
        <v>64</v>
      </c>
      <c r="T11" s="201">
        <v>84</v>
      </c>
      <c r="U11" s="201">
        <v>47</v>
      </c>
      <c r="V11" s="201">
        <v>78</v>
      </c>
      <c r="W11" s="201">
        <v>44</v>
      </c>
      <c r="X11" s="201">
        <v>93</v>
      </c>
      <c r="Y11" s="201">
        <v>76</v>
      </c>
      <c r="Z11" s="201">
        <v>63</v>
      </c>
      <c r="AA11" s="201">
        <v>55</v>
      </c>
      <c r="AB11" s="201">
        <v>1</v>
      </c>
      <c r="AC11" s="197"/>
      <c r="AD11" s="197"/>
      <c r="AE11" s="198">
        <f t="shared" si="5"/>
        <v>647</v>
      </c>
      <c r="AF11" s="202">
        <v>12</v>
      </c>
      <c r="AG11" s="202">
        <v>5</v>
      </c>
      <c r="AH11" s="202">
        <v>9</v>
      </c>
      <c r="AI11" s="202">
        <v>4</v>
      </c>
      <c r="AJ11" s="202">
        <v>4</v>
      </c>
      <c r="AK11" s="202">
        <v>5</v>
      </c>
      <c r="AL11" s="202">
        <v>6</v>
      </c>
      <c r="AM11" s="202">
        <v>4</v>
      </c>
      <c r="AN11" s="202">
        <v>5</v>
      </c>
      <c r="AO11" s="202">
        <v>4</v>
      </c>
      <c r="AP11" s="202">
        <v>3</v>
      </c>
      <c r="AQ11" s="202">
        <v>6</v>
      </c>
      <c r="AR11" s="197"/>
      <c r="AS11" s="197"/>
      <c r="AT11" s="198">
        <f t="shared" si="6"/>
        <v>67</v>
      </c>
      <c r="AU11" s="203">
        <v>3</v>
      </c>
      <c r="AV11" s="203">
        <v>2</v>
      </c>
      <c r="AW11" s="203">
        <v>1</v>
      </c>
      <c r="AX11" s="203">
        <v>1</v>
      </c>
      <c r="AY11" s="203">
        <v>2</v>
      </c>
      <c r="AZ11" s="203">
        <v>1</v>
      </c>
      <c r="BA11" s="203">
        <v>0</v>
      </c>
      <c r="BB11" s="203">
        <v>1</v>
      </c>
      <c r="BC11" s="203">
        <v>3</v>
      </c>
      <c r="BD11" s="203">
        <v>1</v>
      </c>
      <c r="BE11" s="203">
        <v>5</v>
      </c>
      <c r="BF11" s="203">
        <v>1</v>
      </c>
      <c r="BG11" s="197"/>
      <c r="BH11" s="197"/>
      <c r="BI11" s="198">
        <f t="shared" si="7"/>
        <v>21</v>
      </c>
    </row>
    <row r="12" spans="1:61" ht="15" x14ac:dyDescent="0.25">
      <c r="A12" s="199" t="s">
        <v>683</v>
      </c>
      <c r="B12" s="200">
        <v>13</v>
      </c>
      <c r="C12" s="200">
        <v>2</v>
      </c>
      <c r="D12" s="200">
        <v>15</v>
      </c>
      <c r="E12" s="200">
        <v>8</v>
      </c>
      <c r="F12" s="200">
        <v>7</v>
      </c>
      <c r="G12" s="200">
        <v>10</v>
      </c>
      <c r="H12" s="200">
        <v>13</v>
      </c>
      <c r="I12" s="200">
        <v>3</v>
      </c>
      <c r="J12" s="200">
        <v>8</v>
      </c>
      <c r="K12" s="200">
        <v>6</v>
      </c>
      <c r="L12" s="200">
        <v>4</v>
      </c>
      <c r="M12" s="200">
        <v>4</v>
      </c>
      <c r="N12" s="197"/>
      <c r="O12" s="197"/>
      <c r="P12" s="198">
        <f t="shared" si="4"/>
        <v>93</v>
      </c>
      <c r="Q12" s="201">
        <v>56</v>
      </c>
      <c r="R12" s="201">
        <v>21</v>
      </c>
      <c r="S12" s="201">
        <v>62</v>
      </c>
      <c r="T12" s="201">
        <v>26</v>
      </c>
      <c r="U12" s="201">
        <v>80</v>
      </c>
      <c r="V12" s="201">
        <v>22</v>
      </c>
      <c r="W12" s="201">
        <v>68</v>
      </c>
      <c r="X12" s="201">
        <v>25</v>
      </c>
      <c r="Y12" s="201">
        <v>132</v>
      </c>
      <c r="Z12" s="201">
        <v>34</v>
      </c>
      <c r="AA12" s="201">
        <v>91</v>
      </c>
      <c r="AB12" s="201">
        <v>19</v>
      </c>
      <c r="AC12" s="197"/>
      <c r="AD12" s="197"/>
      <c r="AE12" s="198">
        <f t="shared" si="5"/>
        <v>636</v>
      </c>
      <c r="AF12" s="202">
        <v>40</v>
      </c>
      <c r="AG12" s="202">
        <v>34</v>
      </c>
      <c r="AH12" s="202">
        <v>26</v>
      </c>
      <c r="AI12" s="202">
        <v>18</v>
      </c>
      <c r="AJ12" s="202">
        <v>14</v>
      </c>
      <c r="AK12" s="202">
        <v>21</v>
      </c>
      <c r="AL12" s="202">
        <v>15</v>
      </c>
      <c r="AM12" s="202">
        <v>8</v>
      </c>
      <c r="AN12" s="202">
        <v>8</v>
      </c>
      <c r="AO12" s="202">
        <v>8</v>
      </c>
      <c r="AP12" s="202">
        <v>4</v>
      </c>
      <c r="AQ12" s="202">
        <v>2</v>
      </c>
      <c r="AR12" s="197"/>
      <c r="AS12" s="197"/>
      <c r="AT12" s="198">
        <f t="shared" si="6"/>
        <v>198</v>
      </c>
      <c r="AU12" s="203">
        <v>18</v>
      </c>
      <c r="AV12" s="203">
        <v>8</v>
      </c>
      <c r="AW12" s="203">
        <v>13</v>
      </c>
      <c r="AX12" s="203">
        <v>14</v>
      </c>
      <c r="AY12" s="203">
        <v>15</v>
      </c>
      <c r="AZ12" s="203">
        <v>6</v>
      </c>
      <c r="BA12" s="203">
        <v>6</v>
      </c>
      <c r="BB12" s="203">
        <v>2</v>
      </c>
      <c r="BC12" s="203">
        <v>1</v>
      </c>
      <c r="BD12" s="203">
        <v>3</v>
      </c>
      <c r="BE12" s="203">
        <v>9</v>
      </c>
      <c r="BF12" s="203">
        <v>1</v>
      </c>
      <c r="BG12" s="197"/>
      <c r="BH12" s="197"/>
      <c r="BI12" s="198">
        <f t="shared" si="7"/>
        <v>96</v>
      </c>
    </row>
    <row r="13" spans="1:61" ht="15" x14ac:dyDescent="0.25">
      <c r="A13" s="195" t="s">
        <v>684</v>
      </c>
      <c r="B13" s="204">
        <f>SUM(B10:B12)</f>
        <v>14</v>
      </c>
      <c r="C13" s="204">
        <f t="shared" ref="C13:BI13" si="8">SUM(C10:C12)</f>
        <v>6</v>
      </c>
      <c r="D13" s="204">
        <f t="shared" si="8"/>
        <v>17</v>
      </c>
      <c r="E13" s="204">
        <f t="shared" si="8"/>
        <v>10</v>
      </c>
      <c r="F13" s="204">
        <f t="shared" si="8"/>
        <v>16</v>
      </c>
      <c r="G13" s="204">
        <f t="shared" si="8"/>
        <v>12</v>
      </c>
      <c r="H13" s="204">
        <f t="shared" si="8"/>
        <v>16</v>
      </c>
      <c r="I13" s="204">
        <f t="shared" si="8"/>
        <v>3</v>
      </c>
      <c r="J13" s="204">
        <f t="shared" si="8"/>
        <v>10</v>
      </c>
      <c r="K13" s="204">
        <f t="shared" si="8"/>
        <v>9</v>
      </c>
      <c r="L13" s="204">
        <f t="shared" si="8"/>
        <v>4</v>
      </c>
      <c r="M13" s="204">
        <f t="shared" si="8"/>
        <v>5</v>
      </c>
      <c r="N13" s="205">
        <f>B13+D13+F13+H13+J13+L13</f>
        <v>77</v>
      </c>
      <c r="O13" s="205">
        <f>C13+E13+G13+I13+K13+M13</f>
        <v>45</v>
      </c>
      <c r="P13" s="204">
        <f t="shared" si="8"/>
        <v>122</v>
      </c>
      <c r="Q13" s="204">
        <f t="shared" si="8"/>
        <v>68</v>
      </c>
      <c r="R13" s="204">
        <f t="shared" si="8"/>
        <v>61</v>
      </c>
      <c r="S13" s="204">
        <f t="shared" si="8"/>
        <v>128</v>
      </c>
      <c r="T13" s="204">
        <f t="shared" si="8"/>
        <v>111</v>
      </c>
      <c r="U13" s="204">
        <f t="shared" si="8"/>
        <v>129</v>
      </c>
      <c r="V13" s="204">
        <f t="shared" si="8"/>
        <v>104</v>
      </c>
      <c r="W13" s="204">
        <f t="shared" si="8"/>
        <v>117</v>
      </c>
      <c r="X13" s="204">
        <f t="shared" si="8"/>
        <v>119</v>
      </c>
      <c r="Y13" s="204">
        <f t="shared" si="8"/>
        <v>215</v>
      </c>
      <c r="Z13" s="204">
        <f t="shared" si="8"/>
        <v>98</v>
      </c>
      <c r="AA13" s="204">
        <f t="shared" si="8"/>
        <v>149</v>
      </c>
      <c r="AB13" s="204">
        <f t="shared" si="8"/>
        <v>29</v>
      </c>
      <c r="AC13" s="205">
        <f>Q13+S13+U13+W13+Y13+AA13</f>
        <v>806</v>
      </c>
      <c r="AD13" s="205">
        <f>R13+T13+V13+X13+Z13+AB13</f>
        <v>522</v>
      </c>
      <c r="AE13" s="204">
        <f t="shared" si="8"/>
        <v>1328</v>
      </c>
      <c r="AF13" s="204">
        <f t="shared" si="8"/>
        <v>57</v>
      </c>
      <c r="AG13" s="204">
        <f t="shared" si="8"/>
        <v>44</v>
      </c>
      <c r="AH13" s="204">
        <f t="shared" si="8"/>
        <v>39</v>
      </c>
      <c r="AI13" s="204">
        <f t="shared" si="8"/>
        <v>24</v>
      </c>
      <c r="AJ13" s="204">
        <f t="shared" si="8"/>
        <v>24</v>
      </c>
      <c r="AK13" s="204">
        <f t="shared" si="8"/>
        <v>31</v>
      </c>
      <c r="AL13" s="204">
        <f t="shared" si="8"/>
        <v>28</v>
      </c>
      <c r="AM13" s="204">
        <f t="shared" si="8"/>
        <v>13</v>
      </c>
      <c r="AN13" s="204">
        <f t="shared" si="8"/>
        <v>19</v>
      </c>
      <c r="AO13" s="204">
        <f t="shared" si="8"/>
        <v>13</v>
      </c>
      <c r="AP13" s="204">
        <f t="shared" si="8"/>
        <v>9</v>
      </c>
      <c r="AQ13" s="204">
        <f t="shared" si="8"/>
        <v>10</v>
      </c>
      <c r="AR13" s="205">
        <f>AF13+AH13+AJ13+AL13+AN13+AP13</f>
        <v>176</v>
      </c>
      <c r="AS13" s="205">
        <f>AG13+AI13+AK13+AM13+AO13+AQ13</f>
        <v>135</v>
      </c>
      <c r="AT13" s="204">
        <f t="shared" si="8"/>
        <v>311</v>
      </c>
      <c r="AU13" s="204">
        <f t="shared" si="8"/>
        <v>25</v>
      </c>
      <c r="AV13" s="204">
        <f t="shared" si="8"/>
        <v>10</v>
      </c>
      <c r="AW13" s="204">
        <f t="shared" si="8"/>
        <v>17</v>
      </c>
      <c r="AX13" s="204">
        <f t="shared" si="8"/>
        <v>18</v>
      </c>
      <c r="AY13" s="204">
        <f t="shared" si="8"/>
        <v>21</v>
      </c>
      <c r="AZ13" s="204">
        <f t="shared" si="8"/>
        <v>11</v>
      </c>
      <c r="BA13" s="204">
        <f t="shared" si="8"/>
        <v>7</v>
      </c>
      <c r="BB13" s="204">
        <f t="shared" si="8"/>
        <v>5</v>
      </c>
      <c r="BC13" s="204">
        <f t="shared" si="8"/>
        <v>6</v>
      </c>
      <c r="BD13" s="204">
        <f t="shared" si="8"/>
        <v>6</v>
      </c>
      <c r="BE13" s="204">
        <f t="shared" si="8"/>
        <v>16</v>
      </c>
      <c r="BF13" s="204">
        <f t="shared" si="8"/>
        <v>4</v>
      </c>
      <c r="BG13" s="205">
        <f>AU13+AW13+AY13+BA13+BC13+BE13</f>
        <v>92</v>
      </c>
      <c r="BH13" s="205">
        <f>+AV13+AX13+AZ13+BB13+BD13+BF13</f>
        <v>54</v>
      </c>
      <c r="BI13" s="204">
        <f t="shared" si="8"/>
        <v>146</v>
      </c>
    </row>
    <row r="14" spans="1:61" ht="15" x14ac:dyDescent="0.25">
      <c r="A14" s="199" t="s">
        <v>685</v>
      </c>
      <c r="B14" s="200">
        <v>1</v>
      </c>
      <c r="C14" s="200">
        <v>0</v>
      </c>
      <c r="D14" s="200">
        <v>0</v>
      </c>
      <c r="E14" s="200">
        <v>0</v>
      </c>
      <c r="F14" s="200">
        <v>1</v>
      </c>
      <c r="G14" s="200">
        <v>0</v>
      </c>
      <c r="H14" s="200">
        <v>0</v>
      </c>
      <c r="I14" s="200">
        <v>0</v>
      </c>
      <c r="J14" s="200">
        <v>1</v>
      </c>
      <c r="K14" s="200">
        <v>0</v>
      </c>
      <c r="L14" s="200">
        <v>0</v>
      </c>
      <c r="M14" s="200">
        <v>0</v>
      </c>
      <c r="N14" s="197"/>
      <c r="O14" s="197"/>
      <c r="P14" s="198">
        <f t="shared" si="4"/>
        <v>3</v>
      </c>
      <c r="Q14" s="201">
        <v>0</v>
      </c>
      <c r="R14" s="201">
        <v>0</v>
      </c>
      <c r="S14" s="201">
        <v>0</v>
      </c>
      <c r="T14" s="201">
        <v>1</v>
      </c>
      <c r="U14" s="201">
        <v>0</v>
      </c>
      <c r="V14" s="201">
        <v>0</v>
      </c>
      <c r="W14" s="201">
        <v>0</v>
      </c>
      <c r="X14" s="201">
        <v>0</v>
      </c>
      <c r="Y14" s="201">
        <v>0</v>
      </c>
      <c r="Z14" s="201">
        <v>0</v>
      </c>
      <c r="AA14" s="201">
        <v>1</v>
      </c>
      <c r="AB14" s="201">
        <v>0</v>
      </c>
      <c r="AC14" s="197"/>
      <c r="AD14" s="197"/>
      <c r="AE14" s="198">
        <f t="shared" si="5"/>
        <v>2</v>
      </c>
      <c r="AF14" s="202">
        <v>1</v>
      </c>
      <c r="AG14" s="202">
        <v>1</v>
      </c>
      <c r="AH14" s="202">
        <v>2</v>
      </c>
      <c r="AI14" s="202">
        <v>1</v>
      </c>
      <c r="AJ14" s="202">
        <v>3</v>
      </c>
      <c r="AK14" s="202">
        <v>1</v>
      </c>
      <c r="AL14" s="202">
        <v>2</v>
      </c>
      <c r="AM14" s="202">
        <v>1</v>
      </c>
      <c r="AN14" s="202">
        <v>1</v>
      </c>
      <c r="AO14" s="202">
        <v>0</v>
      </c>
      <c r="AP14" s="202">
        <v>1</v>
      </c>
      <c r="AQ14" s="202">
        <v>0</v>
      </c>
      <c r="AR14" s="197"/>
      <c r="AS14" s="197"/>
      <c r="AT14" s="198">
        <f t="shared" si="6"/>
        <v>14</v>
      </c>
      <c r="AU14" s="203">
        <v>0</v>
      </c>
      <c r="AV14" s="203">
        <v>1</v>
      </c>
      <c r="AW14" s="203">
        <v>2</v>
      </c>
      <c r="AX14" s="203">
        <v>1</v>
      </c>
      <c r="AY14" s="203">
        <v>1</v>
      </c>
      <c r="AZ14" s="203">
        <v>0</v>
      </c>
      <c r="BA14" s="203">
        <v>1</v>
      </c>
      <c r="BB14" s="203">
        <v>1</v>
      </c>
      <c r="BC14" s="203">
        <v>0</v>
      </c>
      <c r="BD14" s="203">
        <v>1</v>
      </c>
      <c r="BE14" s="203">
        <v>0</v>
      </c>
      <c r="BF14" s="203">
        <v>0</v>
      </c>
      <c r="BG14" s="197"/>
      <c r="BH14" s="197"/>
      <c r="BI14" s="198">
        <f t="shared" si="7"/>
        <v>8</v>
      </c>
    </row>
    <row r="15" spans="1:61" ht="15" x14ac:dyDescent="0.25">
      <c r="A15" s="199" t="s">
        <v>686</v>
      </c>
      <c r="B15" s="200">
        <v>0</v>
      </c>
      <c r="C15" s="200">
        <v>0</v>
      </c>
      <c r="D15" s="200">
        <v>0</v>
      </c>
      <c r="E15" s="200">
        <v>0</v>
      </c>
      <c r="F15" s="200">
        <v>0</v>
      </c>
      <c r="G15" s="200">
        <v>0</v>
      </c>
      <c r="H15" s="200">
        <v>0</v>
      </c>
      <c r="I15" s="200">
        <v>0</v>
      </c>
      <c r="J15" s="200">
        <v>0</v>
      </c>
      <c r="K15" s="200">
        <v>0</v>
      </c>
      <c r="L15" s="200">
        <v>4</v>
      </c>
      <c r="M15" s="200">
        <v>0</v>
      </c>
      <c r="N15" s="197"/>
      <c r="O15" s="197"/>
      <c r="P15" s="198">
        <f t="shared" si="4"/>
        <v>4</v>
      </c>
      <c r="Q15" s="201">
        <v>1</v>
      </c>
      <c r="R15" s="201">
        <v>0</v>
      </c>
      <c r="S15" s="201">
        <v>2</v>
      </c>
      <c r="T15" s="201">
        <v>0</v>
      </c>
      <c r="U15" s="201">
        <v>3</v>
      </c>
      <c r="V15" s="201">
        <v>0</v>
      </c>
      <c r="W15" s="201">
        <v>1</v>
      </c>
      <c r="X15" s="201">
        <v>0</v>
      </c>
      <c r="Y15" s="201">
        <v>0</v>
      </c>
      <c r="Z15" s="201">
        <v>0</v>
      </c>
      <c r="AA15" s="201">
        <v>0</v>
      </c>
      <c r="AB15" s="201">
        <v>0</v>
      </c>
      <c r="AC15" s="197"/>
      <c r="AD15" s="197"/>
      <c r="AE15" s="198">
        <f t="shared" si="5"/>
        <v>7</v>
      </c>
      <c r="AF15" s="202">
        <v>3</v>
      </c>
      <c r="AG15" s="202">
        <v>0</v>
      </c>
      <c r="AH15" s="202">
        <v>4</v>
      </c>
      <c r="AI15" s="202">
        <v>0</v>
      </c>
      <c r="AJ15" s="202">
        <v>3</v>
      </c>
      <c r="AK15" s="202">
        <v>3</v>
      </c>
      <c r="AL15" s="202">
        <v>3</v>
      </c>
      <c r="AM15" s="202">
        <v>3</v>
      </c>
      <c r="AN15" s="202">
        <v>0</v>
      </c>
      <c r="AO15" s="202">
        <v>0</v>
      </c>
      <c r="AP15" s="202">
        <v>0</v>
      </c>
      <c r="AQ15" s="202">
        <v>1</v>
      </c>
      <c r="AR15" s="197"/>
      <c r="AS15" s="197"/>
      <c r="AT15" s="198">
        <f t="shared" si="6"/>
        <v>20</v>
      </c>
      <c r="AU15" s="203">
        <v>1</v>
      </c>
      <c r="AV15" s="203">
        <v>0</v>
      </c>
      <c r="AW15" s="203">
        <v>3</v>
      </c>
      <c r="AX15" s="203">
        <v>1</v>
      </c>
      <c r="AY15" s="203">
        <v>2</v>
      </c>
      <c r="AZ15" s="203">
        <v>1</v>
      </c>
      <c r="BA15" s="203">
        <v>3</v>
      </c>
      <c r="BB15" s="203">
        <v>1</v>
      </c>
      <c r="BC15" s="203">
        <v>0</v>
      </c>
      <c r="BD15" s="203">
        <v>0</v>
      </c>
      <c r="BE15" s="203">
        <v>1</v>
      </c>
      <c r="BF15" s="203">
        <v>0</v>
      </c>
      <c r="BG15" s="197"/>
      <c r="BH15" s="197"/>
      <c r="BI15" s="198">
        <f t="shared" si="7"/>
        <v>13</v>
      </c>
    </row>
    <row r="16" spans="1:61" ht="15" x14ac:dyDescent="0.25">
      <c r="A16" s="199" t="s">
        <v>687</v>
      </c>
      <c r="B16" s="200">
        <v>1</v>
      </c>
      <c r="C16" s="200">
        <v>2</v>
      </c>
      <c r="D16" s="200">
        <v>1</v>
      </c>
      <c r="E16" s="200">
        <v>1</v>
      </c>
      <c r="F16" s="200">
        <v>0</v>
      </c>
      <c r="G16" s="200">
        <v>0</v>
      </c>
      <c r="H16" s="200">
        <v>0</v>
      </c>
      <c r="I16" s="200">
        <v>1</v>
      </c>
      <c r="J16" s="200">
        <v>1</v>
      </c>
      <c r="K16" s="200">
        <v>0</v>
      </c>
      <c r="L16" s="200">
        <v>0</v>
      </c>
      <c r="M16" s="200">
        <v>0</v>
      </c>
      <c r="N16" s="197"/>
      <c r="O16" s="197"/>
      <c r="P16" s="198">
        <f t="shared" si="4"/>
        <v>7</v>
      </c>
      <c r="Q16" s="201">
        <v>2</v>
      </c>
      <c r="R16" s="201">
        <v>2</v>
      </c>
      <c r="S16" s="201">
        <v>2</v>
      </c>
      <c r="T16" s="201">
        <v>2</v>
      </c>
      <c r="U16" s="201">
        <v>1</v>
      </c>
      <c r="V16" s="201">
        <v>2</v>
      </c>
      <c r="W16" s="201">
        <v>1</v>
      </c>
      <c r="X16" s="201">
        <v>0</v>
      </c>
      <c r="Y16" s="201">
        <v>0</v>
      </c>
      <c r="Z16" s="201">
        <v>1</v>
      </c>
      <c r="AA16" s="201">
        <v>2</v>
      </c>
      <c r="AB16" s="201">
        <v>0</v>
      </c>
      <c r="AC16" s="197"/>
      <c r="AD16" s="197"/>
      <c r="AE16" s="198">
        <f t="shared" si="5"/>
        <v>15</v>
      </c>
      <c r="AF16" s="202">
        <v>1</v>
      </c>
      <c r="AG16" s="202">
        <v>0</v>
      </c>
      <c r="AH16" s="202">
        <v>1</v>
      </c>
      <c r="AI16" s="202">
        <v>4</v>
      </c>
      <c r="AJ16" s="202">
        <v>4</v>
      </c>
      <c r="AK16" s="202">
        <v>2</v>
      </c>
      <c r="AL16" s="202">
        <v>3</v>
      </c>
      <c r="AM16" s="202">
        <v>1</v>
      </c>
      <c r="AN16" s="202">
        <v>4</v>
      </c>
      <c r="AO16" s="202">
        <v>1</v>
      </c>
      <c r="AP16" s="202">
        <v>3</v>
      </c>
      <c r="AQ16" s="202">
        <v>1</v>
      </c>
      <c r="AR16" s="197"/>
      <c r="AS16" s="197"/>
      <c r="AT16" s="198">
        <f t="shared" si="6"/>
        <v>25</v>
      </c>
      <c r="AU16" s="203">
        <v>2</v>
      </c>
      <c r="AV16" s="203">
        <v>1</v>
      </c>
      <c r="AW16" s="203">
        <v>4</v>
      </c>
      <c r="AX16" s="203">
        <v>0</v>
      </c>
      <c r="AY16" s="203">
        <v>3</v>
      </c>
      <c r="AZ16" s="203">
        <v>2</v>
      </c>
      <c r="BA16" s="203">
        <v>3</v>
      </c>
      <c r="BB16" s="203">
        <v>0</v>
      </c>
      <c r="BC16" s="203">
        <v>0</v>
      </c>
      <c r="BD16" s="203">
        <v>1</v>
      </c>
      <c r="BE16" s="203">
        <v>1</v>
      </c>
      <c r="BF16" s="203">
        <v>0</v>
      </c>
      <c r="BG16" s="197"/>
      <c r="BH16" s="197"/>
      <c r="BI16" s="198">
        <f t="shared" si="7"/>
        <v>17</v>
      </c>
    </row>
    <row r="17" spans="1:61" ht="15" x14ac:dyDescent="0.25">
      <c r="A17" s="199" t="s">
        <v>688</v>
      </c>
      <c r="B17" s="200">
        <v>0</v>
      </c>
      <c r="C17" s="200">
        <v>0</v>
      </c>
      <c r="D17" s="200">
        <v>0</v>
      </c>
      <c r="E17" s="200">
        <v>0</v>
      </c>
      <c r="F17" s="200">
        <v>0</v>
      </c>
      <c r="G17" s="200">
        <v>0</v>
      </c>
      <c r="H17" s="200">
        <v>0</v>
      </c>
      <c r="I17" s="200">
        <v>0</v>
      </c>
      <c r="J17" s="200">
        <v>0</v>
      </c>
      <c r="K17" s="200">
        <v>0</v>
      </c>
      <c r="L17" s="200">
        <v>0</v>
      </c>
      <c r="M17" s="200">
        <v>0</v>
      </c>
      <c r="N17" s="197"/>
      <c r="O17" s="197"/>
      <c r="P17" s="198">
        <f t="shared" si="4"/>
        <v>0</v>
      </c>
      <c r="Q17" s="201">
        <v>0</v>
      </c>
      <c r="R17" s="201">
        <v>0</v>
      </c>
      <c r="S17" s="201">
        <v>0</v>
      </c>
      <c r="T17" s="201">
        <v>0</v>
      </c>
      <c r="U17" s="201">
        <v>0</v>
      </c>
      <c r="V17" s="201">
        <v>0</v>
      </c>
      <c r="W17" s="201">
        <v>0</v>
      </c>
      <c r="X17" s="201">
        <v>0</v>
      </c>
      <c r="Y17" s="201">
        <v>0</v>
      </c>
      <c r="Z17" s="201">
        <v>0</v>
      </c>
      <c r="AA17" s="201">
        <v>0</v>
      </c>
      <c r="AB17" s="201">
        <v>0</v>
      </c>
      <c r="AC17" s="197"/>
      <c r="AD17" s="197"/>
      <c r="AE17" s="198">
        <f t="shared" si="5"/>
        <v>0</v>
      </c>
      <c r="AF17" s="202">
        <v>0</v>
      </c>
      <c r="AG17" s="202">
        <v>0</v>
      </c>
      <c r="AH17" s="202">
        <v>0</v>
      </c>
      <c r="AI17" s="202">
        <v>0</v>
      </c>
      <c r="AJ17" s="202">
        <v>0</v>
      </c>
      <c r="AK17" s="202">
        <v>0</v>
      </c>
      <c r="AL17" s="202">
        <v>0</v>
      </c>
      <c r="AM17" s="202">
        <v>0</v>
      </c>
      <c r="AN17" s="202">
        <v>0</v>
      </c>
      <c r="AO17" s="202">
        <v>0</v>
      </c>
      <c r="AP17" s="202">
        <v>0</v>
      </c>
      <c r="AQ17" s="202">
        <v>0</v>
      </c>
      <c r="AR17" s="197"/>
      <c r="AS17" s="197"/>
      <c r="AT17" s="198">
        <f t="shared" si="6"/>
        <v>0</v>
      </c>
      <c r="AU17" s="203">
        <v>0</v>
      </c>
      <c r="AV17" s="203">
        <v>0</v>
      </c>
      <c r="AW17" s="203">
        <v>0</v>
      </c>
      <c r="AX17" s="203">
        <v>0</v>
      </c>
      <c r="AY17" s="203">
        <v>0</v>
      </c>
      <c r="AZ17" s="203">
        <v>0</v>
      </c>
      <c r="BA17" s="203">
        <v>0</v>
      </c>
      <c r="BB17" s="203">
        <v>0</v>
      </c>
      <c r="BC17" s="203">
        <v>0</v>
      </c>
      <c r="BD17" s="203">
        <v>0</v>
      </c>
      <c r="BE17" s="203">
        <v>0</v>
      </c>
      <c r="BF17" s="203">
        <v>0</v>
      </c>
      <c r="BG17" s="197"/>
      <c r="BH17" s="197"/>
      <c r="BI17" s="198">
        <f t="shared" si="7"/>
        <v>0</v>
      </c>
    </row>
    <row r="18" spans="1:61" ht="15" x14ac:dyDescent="0.25">
      <c r="A18" s="199" t="s">
        <v>689</v>
      </c>
      <c r="B18" s="200">
        <v>0</v>
      </c>
      <c r="C18" s="200">
        <v>0</v>
      </c>
      <c r="D18" s="200">
        <v>0</v>
      </c>
      <c r="E18" s="200">
        <v>0</v>
      </c>
      <c r="F18" s="200">
        <v>0</v>
      </c>
      <c r="G18" s="200">
        <v>0</v>
      </c>
      <c r="H18" s="200">
        <v>0</v>
      </c>
      <c r="I18" s="200">
        <v>0</v>
      </c>
      <c r="J18" s="200">
        <v>0</v>
      </c>
      <c r="K18" s="200">
        <v>0</v>
      </c>
      <c r="L18" s="200">
        <v>1</v>
      </c>
      <c r="M18" s="200">
        <v>0</v>
      </c>
      <c r="N18" s="197"/>
      <c r="O18" s="197"/>
      <c r="P18" s="198">
        <f t="shared" si="4"/>
        <v>1</v>
      </c>
      <c r="Q18" s="201">
        <v>3</v>
      </c>
      <c r="R18" s="201">
        <v>1</v>
      </c>
      <c r="S18" s="201">
        <v>1</v>
      </c>
      <c r="T18" s="201">
        <v>1</v>
      </c>
      <c r="U18" s="201">
        <v>1</v>
      </c>
      <c r="V18" s="201">
        <v>1</v>
      </c>
      <c r="W18" s="201">
        <v>1</v>
      </c>
      <c r="X18" s="201">
        <v>1</v>
      </c>
      <c r="Y18" s="201">
        <v>2</v>
      </c>
      <c r="Z18" s="201">
        <v>1</v>
      </c>
      <c r="AA18" s="201">
        <v>2</v>
      </c>
      <c r="AB18" s="201">
        <v>0</v>
      </c>
      <c r="AC18" s="197"/>
      <c r="AD18" s="197"/>
      <c r="AE18" s="198">
        <f t="shared" si="5"/>
        <v>15</v>
      </c>
      <c r="AF18" s="202">
        <v>2</v>
      </c>
      <c r="AG18" s="202">
        <v>0</v>
      </c>
      <c r="AH18" s="202">
        <v>0</v>
      </c>
      <c r="AI18" s="202">
        <v>0</v>
      </c>
      <c r="AJ18" s="202">
        <v>2</v>
      </c>
      <c r="AK18" s="202">
        <v>2</v>
      </c>
      <c r="AL18" s="202">
        <v>4</v>
      </c>
      <c r="AM18" s="202">
        <v>0</v>
      </c>
      <c r="AN18" s="202">
        <v>1</v>
      </c>
      <c r="AO18" s="202">
        <v>2</v>
      </c>
      <c r="AP18" s="202">
        <v>2</v>
      </c>
      <c r="AQ18" s="202">
        <v>1</v>
      </c>
      <c r="AR18" s="197"/>
      <c r="AS18" s="197"/>
      <c r="AT18" s="198">
        <f t="shared" si="6"/>
        <v>16</v>
      </c>
      <c r="AU18" s="203">
        <v>1</v>
      </c>
      <c r="AV18" s="203">
        <v>0</v>
      </c>
      <c r="AW18" s="203">
        <v>0</v>
      </c>
      <c r="AX18" s="203">
        <v>0</v>
      </c>
      <c r="AY18" s="203">
        <v>1</v>
      </c>
      <c r="AZ18" s="203">
        <v>1</v>
      </c>
      <c r="BA18" s="203">
        <v>1</v>
      </c>
      <c r="BB18" s="203">
        <v>0</v>
      </c>
      <c r="BC18" s="203">
        <v>0</v>
      </c>
      <c r="BD18" s="203">
        <v>1</v>
      </c>
      <c r="BE18" s="203">
        <v>0</v>
      </c>
      <c r="BF18" s="203">
        <v>0</v>
      </c>
      <c r="BG18" s="197"/>
      <c r="BH18" s="197"/>
      <c r="BI18" s="198">
        <f t="shared" si="7"/>
        <v>5</v>
      </c>
    </row>
    <row r="19" spans="1:61" ht="15" x14ac:dyDescent="0.25">
      <c r="A19" s="199" t="s">
        <v>690</v>
      </c>
      <c r="B19" s="200">
        <v>1</v>
      </c>
      <c r="C19" s="200">
        <v>0</v>
      </c>
      <c r="D19" s="200">
        <v>2</v>
      </c>
      <c r="E19" s="200">
        <v>1</v>
      </c>
      <c r="F19" s="200">
        <v>0</v>
      </c>
      <c r="G19" s="200">
        <v>1</v>
      </c>
      <c r="H19" s="200">
        <v>0</v>
      </c>
      <c r="I19" s="200">
        <v>3</v>
      </c>
      <c r="J19" s="200">
        <v>1</v>
      </c>
      <c r="K19" s="200">
        <v>0</v>
      </c>
      <c r="L19" s="200">
        <v>0</v>
      </c>
      <c r="M19" s="200">
        <v>0</v>
      </c>
      <c r="N19" s="197"/>
      <c r="O19" s="197"/>
      <c r="P19" s="198">
        <f t="shared" si="4"/>
        <v>9</v>
      </c>
      <c r="Q19" s="201">
        <v>0</v>
      </c>
      <c r="R19" s="201">
        <v>0</v>
      </c>
      <c r="S19" s="201">
        <v>0</v>
      </c>
      <c r="T19" s="201">
        <v>0</v>
      </c>
      <c r="U19" s="201">
        <v>2</v>
      </c>
      <c r="V19" s="201">
        <v>1</v>
      </c>
      <c r="W19" s="201">
        <v>0</v>
      </c>
      <c r="X19" s="201">
        <v>2</v>
      </c>
      <c r="Y19" s="201">
        <v>2</v>
      </c>
      <c r="Z19" s="201">
        <v>2</v>
      </c>
      <c r="AA19" s="201">
        <v>1</v>
      </c>
      <c r="AB19" s="201">
        <v>1</v>
      </c>
      <c r="AC19" s="197"/>
      <c r="AD19" s="197"/>
      <c r="AE19" s="198">
        <f t="shared" si="5"/>
        <v>11</v>
      </c>
      <c r="AF19" s="202">
        <v>2</v>
      </c>
      <c r="AG19" s="202">
        <v>1</v>
      </c>
      <c r="AH19" s="202">
        <v>6</v>
      </c>
      <c r="AI19" s="202">
        <v>2</v>
      </c>
      <c r="AJ19" s="202">
        <v>3</v>
      </c>
      <c r="AK19" s="202">
        <v>1</v>
      </c>
      <c r="AL19" s="202">
        <v>6</v>
      </c>
      <c r="AM19" s="202">
        <v>4</v>
      </c>
      <c r="AN19" s="202">
        <v>3</v>
      </c>
      <c r="AO19" s="202">
        <v>5</v>
      </c>
      <c r="AP19" s="202">
        <v>4</v>
      </c>
      <c r="AQ19" s="202">
        <v>0</v>
      </c>
      <c r="AR19" s="197"/>
      <c r="AS19" s="197"/>
      <c r="AT19" s="198">
        <f t="shared" si="6"/>
        <v>37</v>
      </c>
      <c r="AU19" s="203">
        <v>1</v>
      </c>
      <c r="AV19" s="203">
        <v>1</v>
      </c>
      <c r="AW19" s="203">
        <v>2</v>
      </c>
      <c r="AX19" s="203">
        <v>1</v>
      </c>
      <c r="AY19" s="203">
        <v>0</v>
      </c>
      <c r="AZ19" s="203">
        <v>0</v>
      </c>
      <c r="BA19" s="203">
        <v>0</v>
      </c>
      <c r="BB19" s="203">
        <v>1</v>
      </c>
      <c r="BC19" s="203">
        <v>3</v>
      </c>
      <c r="BD19" s="203">
        <v>0</v>
      </c>
      <c r="BE19" s="203">
        <v>0</v>
      </c>
      <c r="BF19" s="203">
        <v>2</v>
      </c>
      <c r="BG19" s="197"/>
      <c r="BH19" s="197"/>
      <c r="BI19" s="198">
        <f t="shared" si="7"/>
        <v>11</v>
      </c>
    </row>
    <row r="20" spans="1:61" ht="15" x14ac:dyDescent="0.25">
      <c r="A20" s="199" t="s">
        <v>691</v>
      </c>
      <c r="B20" s="200">
        <v>0</v>
      </c>
      <c r="C20" s="200">
        <v>0</v>
      </c>
      <c r="D20" s="200">
        <v>3</v>
      </c>
      <c r="E20" s="200">
        <v>2</v>
      </c>
      <c r="F20" s="200">
        <v>7</v>
      </c>
      <c r="G20" s="200">
        <v>10</v>
      </c>
      <c r="H20" s="200">
        <v>7</v>
      </c>
      <c r="I20" s="200">
        <v>10</v>
      </c>
      <c r="J20" s="200">
        <v>5</v>
      </c>
      <c r="K20" s="200">
        <v>10</v>
      </c>
      <c r="L20" s="200">
        <v>11</v>
      </c>
      <c r="M20" s="200">
        <v>6</v>
      </c>
      <c r="N20" s="197"/>
      <c r="O20" s="197"/>
      <c r="P20" s="198">
        <f t="shared" si="4"/>
        <v>71</v>
      </c>
      <c r="Q20" s="201">
        <v>2</v>
      </c>
      <c r="R20" s="201">
        <v>1</v>
      </c>
      <c r="S20" s="201">
        <v>4</v>
      </c>
      <c r="T20" s="201">
        <v>0</v>
      </c>
      <c r="U20" s="201">
        <v>6</v>
      </c>
      <c r="V20" s="201">
        <v>0</v>
      </c>
      <c r="W20" s="201">
        <v>2</v>
      </c>
      <c r="X20" s="201">
        <v>4</v>
      </c>
      <c r="Y20" s="201">
        <v>2</v>
      </c>
      <c r="Z20" s="201">
        <v>0</v>
      </c>
      <c r="AA20" s="201">
        <v>0</v>
      </c>
      <c r="AB20" s="201">
        <v>0</v>
      </c>
      <c r="AC20" s="197"/>
      <c r="AD20" s="197"/>
      <c r="AE20" s="198">
        <f t="shared" si="5"/>
        <v>21</v>
      </c>
      <c r="AF20" s="202">
        <v>2</v>
      </c>
      <c r="AG20" s="202">
        <v>1</v>
      </c>
      <c r="AH20" s="202">
        <v>5</v>
      </c>
      <c r="AI20" s="202">
        <v>2</v>
      </c>
      <c r="AJ20" s="202">
        <v>6</v>
      </c>
      <c r="AK20" s="202">
        <v>1</v>
      </c>
      <c r="AL20" s="202">
        <v>4</v>
      </c>
      <c r="AM20" s="202">
        <v>6</v>
      </c>
      <c r="AN20" s="202">
        <v>3</v>
      </c>
      <c r="AO20" s="202">
        <v>0</v>
      </c>
      <c r="AP20" s="202">
        <v>1</v>
      </c>
      <c r="AQ20" s="202">
        <v>1</v>
      </c>
      <c r="AR20" s="197"/>
      <c r="AS20" s="197"/>
      <c r="AT20" s="198">
        <f t="shared" si="6"/>
        <v>32</v>
      </c>
      <c r="AU20" s="203">
        <v>2</v>
      </c>
      <c r="AV20" s="203">
        <v>1</v>
      </c>
      <c r="AW20" s="203">
        <v>7</v>
      </c>
      <c r="AX20" s="203">
        <v>0</v>
      </c>
      <c r="AY20" s="203">
        <v>7</v>
      </c>
      <c r="AZ20" s="203">
        <v>0</v>
      </c>
      <c r="BA20" s="203">
        <v>0</v>
      </c>
      <c r="BB20" s="203">
        <v>0</v>
      </c>
      <c r="BC20" s="203">
        <v>2</v>
      </c>
      <c r="BD20" s="203">
        <v>4</v>
      </c>
      <c r="BE20" s="203">
        <v>1</v>
      </c>
      <c r="BF20" s="203">
        <v>0</v>
      </c>
      <c r="BG20" s="197"/>
      <c r="BH20" s="197"/>
      <c r="BI20" s="198">
        <f t="shared" si="7"/>
        <v>24</v>
      </c>
    </row>
    <row r="21" spans="1:61" ht="15" x14ac:dyDescent="0.25">
      <c r="A21" s="199" t="s">
        <v>692</v>
      </c>
      <c r="B21" s="200">
        <v>0</v>
      </c>
      <c r="C21" s="200">
        <v>0</v>
      </c>
      <c r="D21" s="200">
        <v>0</v>
      </c>
      <c r="E21" s="200">
        <v>0</v>
      </c>
      <c r="F21" s="200">
        <v>0</v>
      </c>
      <c r="G21" s="200">
        <v>0</v>
      </c>
      <c r="H21" s="200">
        <v>0</v>
      </c>
      <c r="I21" s="200">
        <v>0</v>
      </c>
      <c r="J21" s="200">
        <v>0</v>
      </c>
      <c r="K21" s="200">
        <v>0</v>
      </c>
      <c r="L21" s="200">
        <v>0</v>
      </c>
      <c r="M21" s="200">
        <v>0</v>
      </c>
      <c r="N21" s="197"/>
      <c r="O21" s="197"/>
      <c r="P21" s="198">
        <f t="shared" si="4"/>
        <v>0</v>
      </c>
      <c r="Q21" s="201">
        <v>2</v>
      </c>
      <c r="R21" s="201">
        <v>0</v>
      </c>
      <c r="S21" s="201">
        <v>0</v>
      </c>
      <c r="T21" s="201">
        <v>0</v>
      </c>
      <c r="U21" s="201">
        <v>3</v>
      </c>
      <c r="V21" s="201">
        <v>0</v>
      </c>
      <c r="W21" s="201">
        <v>1</v>
      </c>
      <c r="X21" s="201">
        <v>3</v>
      </c>
      <c r="Y21" s="201">
        <v>2</v>
      </c>
      <c r="Z21" s="201">
        <v>0</v>
      </c>
      <c r="AA21" s="201">
        <v>3</v>
      </c>
      <c r="AB21" s="201">
        <v>0</v>
      </c>
      <c r="AC21" s="197"/>
      <c r="AD21" s="197"/>
      <c r="AE21" s="198">
        <f t="shared" si="5"/>
        <v>14</v>
      </c>
      <c r="AF21" s="202">
        <v>5</v>
      </c>
      <c r="AG21" s="202">
        <v>1</v>
      </c>
      <c r="AH21" s="202">
        <v>2</v>
      </c>
      <c r="AI21" s="202">
        <v>3</v>
      </c>
      <c r="AJ21" s="202">
        <v>5</v>
      </c>
      <c r="AK21" s="202">
        <v>5</v>
      </c>
      <c r="AL21" s="202">
        <v>4</v>
      </c>
      <c r="AM21" s="202">
        <v>1</v>
      </c>
      <c r="AN21" s="202">
        <v>1</v>
      </c>
      <c r="AO21" s="202">
        <v>1</v>
      </c>
      <c r="AP21" s="202">
        <v>3</v>
      </c>
      <c r="AQ21" s="202">
        <v>11</v>
      </c>
      <c r="AR21" s="197"/>
      <c r="AS21" s="197"/>
      <c r="AT21" s="198">
        <f t="shared" si="6"/>
        <v>42</v>
      </c>
      <c r="AU21" s="203">
        <v>2</v>
      </c>
      <c r="AV21" s="203">
        <v>1</v>
      </c>
      <c r="AW21" s="203">
        <v>3</v>
      </c>
      <c r="AX21" s="203">
        <v>1</v>
      </c>
      <c r="AY21" s="203">
        <v>4</v>
      </c>
      <c r="AZ21" s="203">
        <v>1</v>
      </c>
      <c r="BA21" s="203">
        <v>1</v>
      </c>
      <c r="BB21" s="203">
        <v>1</v>
      </c>
      <c r="BC21" s="203">
        <v>0</v>
      </c>
      <c r="BD21" s="203">
        <v>0</v>
      </c>
      <c r="BE21" s="203">
        <v>0</v>
      </c>
      <c r="BF21" s="203">
        <v>0</v>
      </c>
      <c r="BG21" s="197"/>
      <c r="BH21" s="197"/>
      <c r="BI21" s="198">
        <f t="shared" si="7"/>
        <v>14</v>
      </c>
    </row>
    <row r="22" spans="1:61" ht="15" x14ac:dyDescent="0.25">
      <c r="A22" s="199" t="s">
        <v>693</v>
      </c>
      <c r="B22" s="200">
        <v>0</v>
      </c>
      <c r="C22" s="200">
        <v>0</v>
      </c>
      <c r="D22" s="200">
        <v>0</v>
      </c>
      <c r="E22" s="200">
        <v>0</v>
      </c>
      <c r="F22" s="200">
        <v>1</v>
      </c>
      <c r="G22" s="200">
        <v>0</v>
      </c>
      <c r="H22" s="200">
        <v>0</v>
      </c>
      <c r="I22" s="200">
        <v>0</v>
      </c>
      <c r="J22" s="200">
        <v>0</v>
      </c>
      <c r="K22" s="200">
        <v>0</v>
      </c>
      <c r="L22" s="200">
        <v>1</v>
      </c>
      <c r="M22" s="200">
        <v>1</v>
      </c>
      <c r="N22" s="197"/>
      <c r="O22" s="197"/>
      <c r="P22" s="198">
        <f t="shared" si="4"/>
        <v>3</v>
      </c>
      <c r="Q22" s="201">
        <v>2</v>
      </c>
      <c r="R22" s="201">
        <v>0</v>
      </c>
      <c r="S22" s="201">
        <v>0</v>
      </c>
      <c r="T22" s="201">
        <v>0</v>
      </c>
      <c r="U22" s="201">
        <v>0</v>
      </c>
      <c r="V22" s="201">
        <v>0</v>
      </c>
      <c r="W22" s="201">
        <v>2</v>
      </c>
      <c r="X22" s="201">
        <v>0</v>
      </c>
      <c r="Y22" s="201">
        <v>0</v>
      </c>
      <c r="Z22" s="201">
        <v>0</v>
      </c>
      <c r="AA22" s="201">
        <v>0</v>
      </c>
      <c r="AB22" s="201">
        <v>1</v>
      </c>
      <c r="AC22" s="197"/>
      <c r="AD22" s="197"/>
      <c r="AE22" s="198">
        <f t="shared" si="5"/>
        <v>5</v>
      </c>
      <c r="AF22" s="202">
        <v>0</v>
      </c>
      <c r="AG22" s="202">
        <v>0</v>
      </c>
      <c r="AH22" s="202">
        <v>1</v>
      </c>
      <c r="AI22" s="202">
        <v>2</v>
      </c>
      <c r="AJ22" s="202">
        <v>0</v>
      </c>
      <c r="AK22" s="202">
        <v>0</v>
      </c>
      <c r="AL22" s="202">
        <v>3</v>
      </c>
      <c r="AM22" s="202">
        <v>0</v>
      </c>
      <c r="AN22" s="202">
        <v>0</v>
      </c>
      <c r="AO22" s="202">
        <v>0</v>
      </c>
      <c r="AP22" s="202">
        <v>2</v>
      </c>
      <c r="AQ22" s="202">
        <v>0</v>
      </c>
      <c r="AR22" s="197"/>
      <c r="AS22" s="197"/>
      <c r="AT22" s="198">
        <f t="shared" si="6"/>
        <v>8</v>
      </c>
      <c r="AU22" s="203">
        <v>2</v>
      </c>
      <c r="AV22" s="203">
        <v>0</v>
      </c>
      <c r="AW22" s="203">
        <v>0</v>
      </c>
      <c r="AX22" s="203">
        <v>0</v>
      </c>
      <c r="AY22" s="203">
        <v>0</v>
      </c>
      <c r="AZ22" s="203">
        <v>0</v>
      </c>
      <c r="BA22" s="203">
        <v>0</v>
      </c>
      <c r="BB22" s="203">
        <v>0</v>
      </c>
      <c r="BC22" s="203">
        <v>0</v>
      </c>
      <c r="BD22" s="203">
        <v>1</v>
      </c>
      <c r="BE22" s="203">
        <v>0</v>
      </c>
      <c r="BF22" s="203">
        <v>0</v>
      </c>
      <c r="BG22" s="197"/>
      <c r="BH22" s="197"/>
      <c r="BI22" s="198">
        <f t="shared" si="7"/>
        <v>3</v>
      </c>
    </row>
    <row r="23" spans="1:61" ht="15" x14ac:dyDescent="0.25">
      <c r="A23" s="195" t="s">
        <v>694</v>
      </c>
      <c r="B23" s="204">
        <f>SUM(B14:B22)</f>
        <v>3</v>
      </c>
      <c r="C23" s="204">
        <f t="shared" ref="C23:BI23" si="9">SUM(C14:C22)</f>
        <v>2</v>
      </c>
      <c r="D23" s="204">
        <f t="shared" si="9"/>
        <v>6</v>
      </c>
      <c r="E23" s="204">
        <f t="shared" si="9"/>
        <v>4</v>
      </c>
      <c r="F23" s="204">
        <f t="shared" si="9"/>
        <v>9</v>
      </c>
      <c r="G23" s="204">
        <f t="shared" si="9"/>
        <v>11</v>
      </c>
      <c r="H23" s="204">
        <f t="shared" si="9"/>
        <v>7</v>
      </c>
      <c r="I23" s="204">
        <f t="shared" si="9"/>
        <v>14</v>
      </c>
      <c r="J23" s="204">
        <f t="shared" si="9"/>
        <v>8</v>
      </c>
      <c r="K23" s="204">
        <f t="shared" si="9"/>
        <v>10</v>
      </c>
      <c r="L23" s="204">
        <f t="shared" si="9"/>
        <v>17</v>
      </c>
      <c r="M23" s="204">
        <f t="shared" si="9"/>
        <v>7</v>
      </c>
      <c r="N23" s="205">
        <f>B23+D23+F23+H23+J23+L23</f>
        <v>50</v>
      </c>
      <c r="O23" s="205">
        <f>C23+E23+G23+I23+K23+M23</f>
        <v>48</v>
      </c>
      <c r="P23" s="204">
        <f t="shared" si="9"/>
        <v>98</v>
      </c>
      <c r="Q23" s="204">
        <f t="shared" si="9"/>
        <v>12</v>
      </c>
      <c r="R23" s="204">
        <f t="shared" si="9"/>
        <v>4</v>
      </c>
      <c r="S23" s="204">
        <f t="shared" si="9"/>
        <v>9</v>
      </c>
      <c r="T23" s="204">
        <f t="shared" si="9"/>
        <v>4</v>
      </c>
      <c r="U23" s="204">
        <f t="shared" si="9"/>
        <v>16</v>
      </c>
      <c r="V23" s="204">
        <f t="shared" si="9"/>
        <v>4</v>
      </c>
      <c r="W23" s="204">
        <f t="shared" si="9"/>
        <v>8</v>
      </c>
      <c r="X23" s="204">
        <f t="shared" si="9"/>
        <v>10</v>
      </c>
      <c r="Y23" s="204">
        <f t="shared" si="9"/>
        <v>8</v>
      </c>
      <c r="Z23" s="204">
        <f t="shared" si="9"/>
        <v>4</v>
      </c>
      <c r="AA23" s="204">
        <f t="shared" si="9"/>
        <v>9</v>
      </c>
      <c r="AB23" s="204">
        <f t="shared" si="9"/>
        <v>2</v>
      </c>
      <c r="AC23" s="205">
        <f>Q23+S23+U23+W23+Y23+AA23</f>
        <v>62</v>
      </c>
      <c r="AD23" s="205">
        <f>R23+T23+V23+X23+Z23+AB23</f>
        <v>28</v>
      </c>
      <c r="AE23" s="204">
        <f t="shared" si="9"/>
        <v>90</v>
      </c>
      <c r="AF23" s="204">
        <f t="shared" si="9"/>
        <v>16</v>
      </c>
      <c r="AG23" s="204">
        <f t="shared" si="9"/>
        <v>4</v>
      </c>
      <c r="AH23" s="204">
        <f t="shared" si="9"/>
        <v>21</v>
      </c>
      <c r="AI23" s="204">
        <f t="shared" si="9"/>
        <v>14</v>
      </c>
      <c r="AJ23" s="204">
        <f t="shared" si="9"/>
        <v>26</v>
      </c>
      <c r="AK23" s="204">
        <f t="shared" si="9"/>
        <v>15</v>
      </c>
      <c r="AL23" s="204">
        <f t="shared" si="9"/>
        <v>29</v>
      </c>
      <c r="AM23" s="204">
        <f t="shared" si="9"/>
        <v>16</v>
      </c>
      <c r="AN23" s="204">
        <f t="shared" si="9"/>
        <v>13</v>
      </c>
      <c r="AO23" s="204">
        <f t="shared" si="9"/>
        <v>9</v>
      </c>
      <c r="AP23" s="204">
        <f t="shared" si="9"/>
        <v>16</v>
      </c>
      <c r="AQ23" s="204">
        <f t="shared" si="9"/>
        <v>15</v>
      </c>
      <c r="AR23" s="205">
        <f>AF23+AH23+AJ23+AL23+AN23+AP23</f>
        <v>121</v>
      </c>
      <c r="AS23" s="205">
        <f>AG23+AI23+AK23+AM23+AO23+AQ23</f>
        <v>73</v>
      </c>
      <c r="AT23" s="204">
        <f t="shared" si="9"/>
        <v>194</v>
      </c>
      <c r="AU23" s="204">
        <f t="shared" si="9"/>
        <v>11</v>
      </c>
      <c r="AV23" s="204">
        <f t="shared" si="9"/>
        <v>5</v>
      </c>
      <c r="AW23" s="204">
        <f t="shared" si="9"/>
        <v>21</v>
      </c>
      <c r="AX23" s="204">
        <f t="shared" si="9"/>
        <v>4</v>
      </c>
      <c r="AY23" s="204">
        <f t="shared" si="9"/>
        <v>18</v>
      </c>
      <c r="AZ23" s="204">
        <f t="shared" si="9"/>
        <v>5</v>
      </c>
      <c r="BA23" s="204">
        <f t="shared" si="9"/>
        <v>9</v>
      </c>
      <c r="BB23" s="204">
        <f t="shared" si="9"/>
        <v>4</v>
      </c>
      <c r="BC23" s="204">
        <f t="shared" si="9"/>
        <v>5</v>
      </c>
      <c r="BD23" s="204">
        <f t="shared" si="9"/>
        <v>8</v>
      </c>
      <c r="BE23" s="204">
        <f t="shared" si="9"/>
        <v>3</v>
      </c>
      <c r="BF23" s="204">
        <f t="shared" si="9"/>
        <v>2</v>
      </c>
      <c r="BG23" s="205">
        <f>AU23+AW23+AY23+BA23+BC23+BE23</f>
        <v>67</v>
      </c>
      <c r="BH23" s="205">
        <f>AV23+AX23+AZ23+BB23+BD23+BF23</f>
        <v>28</v>
      </c>
      <c r="BI23" s="204">
        <f t="shared" si="9"/>
        <v>95</v>
      </c>
    </row>
    <row r="24" spans="1:61" ht="15" x14ac:dyDescent="0.25">
      <c r="A24" s="199" t="s">
        <v>695</v>
      </c>
      <c r="B24" s="200">
        <v>2</v>
      </c>
      <c r="C24" s="200">
        <v>3</v>
      </c>
      <c r="D24" s="200">
        <v>0</v>
      </c>
      <c r="E24" s="200">
        <v>0</v>
      </c>
      <c r="F24" s="200">
        <v>0</v>
      </c>
      <c r="G24" s="200">
        <v>0</v>
      </c>
      <c r="H24" s="200">
        <v>0</v>
      </c>
      <c r="I24" s="200">
        <v>0</v>
      </c>
      <c r="J24" s="200">
        <v>0</v>
      </c>
      <c r="K24" s="200">
        <v>0</v>
      </c>
      <c r="L24" s="200">
        <v>1</v>
      </c>
      <c r="M24" s="200">
        <v>0</v>
      </c>
      <c r="N24" s="197"/>
      <c r="O24" s="197"/>
      <c r="P24" s="198">
        <f t="shared" si="4"/>
        <v>6</v>
      </c>
      <c r="Q24" s="201">
        <v>0</v>
      </c>
      <c r="R24" s="201">
        <v>2</v>
      </c>
      <c r="S24" s="201">
        <v>4</v>
      </c>
      <c r="T24" s="201">
        <v>4</v>
      </c>
      <c r="U24" s="201">
        <v>2</v>
      </c>
      <c r="V24" s="201">
        <v>1</v>
      </c>
      <c r="W24" s="201">
        <v>2</v>
      </c>
      <c r="X24" s="201">
        <v>1</v>
      </c>
      <c r="Y24" s="201">
        <v>1</v>
      </c>
      <c r="Z24" s="201">
        <v>0</v>
      </c>
      <c r="AA24" s="201">
        <v>0</v>
      </c>
      <c r="AB24" s="201">
        <v>0</v>
      </c>
      <c r="AC24" s="197"/>
      <c r="AD24" s="197"/>
      <c r="AE24" s="198">
        <f t="shared" si="5"/>
        <v>17</v>
      </c>
      <c r="AF24" s="202">
        <v>7</v>
      </c>
      <c r="AG24" s="202">
        <v>4</v>
      </c>
      <c r="AH24" s="202">
        <v>12</v>
      </c>
      <c r="AI24" s="202">
        <v>3</v>
      </c>
      <c r="AJ24" s="202">
        <v>4</v>
      </c>
      <c r="AK24" s="202">
        <v>9</v>
      </c>
      <c r="AL24" s="202">
        <v>5</v>
      </c>
      <c r="AM24" s="202">
        <v>6</v>
      </c>
      <c r="AN24" s="202">
        <v>4</v>
      </c>
      <c r="AO24" s="202">
        <v>3</v>
      </c>
      <c r="AP24" s="202">
        <v>0</v>
      </c>
      <c r="AQ24" s="202">
        <v>0</v>
      </c>
      <c r="AR24" s="197"/>
      <c r="AS24" s="197"/>
      <c r="AT24" s="198">
        <f t="shared" si="6"/>
        <v>57</v>
      </c>
      <c r="AU24" s="203">
        <v>0</v>
      </c>
      <c r="AV24" s="203">
        <v>3</v>
      </c>
      <c r="AW24" s="203">
        <v>2</v>
      </c>
      <c r="AX24" s="203">
        <v>2</v>
      </c>
      <c r="AY24" s="203">
        <v>1</v>
      </c>
      <c r="AZ24" s="203">
        <v>0</v>
      </c>
      <c r="BA24" s="203">
        <v>1</v>
      </c>
      <c r="BB24" s="203">
        <v>0</v>
      </c>
      <c r="BC24" s="203">
        <v>1</v>
      </c>
      <c r="BD24" s="203">
        <v>0</v>
      </c>
      <c r="BE24" s="203">
        <v>1</v>
      </c>
      <c r="BF24" s="203">
        <v>0</v>
      </c>
      <c r="BG24" s="197"/>
      <c r="BH24" s="197"/>
      <c r="BI24" s="198">
        <f t="shared" si="7"/>
        <v>11</v>
      </c>
    </row>
    <row r="25" spans="1:61" ht="15" x14ac:dyDescent="0.25">
      <c r="A25" s="199" t="s">
        <v>696</v>
      </c>
      <c r="B25" s="200">
        <v>0</v>
      </c>
      <c r="C25" s="200">
        <v>0</v>
      </c>
      <c r="D25" s="200">
        <v>2</v>
      </c>
      <c r="E25" s="200">
        <v>4</v>
      </c>
      <c r="F25" s="200">
        <v>1</v>
      </c>
      <c r="G25" s="200">
        <v>2</v>
      </c>
      <c r="H25" s="200">
        <v>0</v>
      </c>
      <c r="I25" s="200">
        <v>1</v>
      </c>
      <c r="J25" s="200">
        <v>0</v>
      </c>
      <c r="K25" s="200">
        <v>1</v>
      </c>
      <c r="L25" s="200">
        <v>0</v>
      </c>
      <c r="M25" s="200">
        <v>1</v>
      </c>
      <c r="N25" s="197"/>
      <c r="O25" s="197"/>
      <c r="P25" s="198">
        <f t="shared" si="4"/>
        <v>12</v>
      </c>
      <c r="Q25" s="201">
        <v>2</v>
      </c>
      <c r="R25" s="201">
        <v>0</v>
      </c>
      <c r="S25" s="201">
        <v>0</v>
      </c>
      <c r="T25" s="201">
        <v>1</v>
      </c>
      <c r="U25" s="201">
        <v>4</v>
      </c>
      <c r="V25" s="201">
        <v>0</v>
      </c>
      <c r="W25" s="201">
        <v>1</v>
      </c>
      <c r="X25" s="201">
        <v>0</v>
      </c>
      <c r="Y25" s="201">
        <v>0</v>
      </c>
      <c r="Z25" s="201">
        <v>0</v>
      </c>
      <c r="AA25" s="201">
        <v>0</v>
      </c>
      <c r="AB25" s="201">
        <v>0</v>
      </c>
      <c r="AC25" s="197"/>
      <c r="AD25" s="197"/>
      <c r="AE25" s="198">
        <f t="shared" si="5"/>
        <v>8</v>
      </c>
      <c r="AF25" s="202">
        <v>12</v>
      </c>
      <c r="AG25" s="202">
        <v>0</v>
      </c>
      <c r="AH25" s="202">
        <v>12</v>
      </c>
      <c r="AI25" s="202">
        <v>3</v>
      </c>
      <c r="AJ25" s="202">
        <v>3</v>
      </c>
      <c r="AK25" s="202">
        <v>0</v>
      </c>
      <c r="AL25" s="202">
        <v>2</v>
      </c>
      <c r="AM25" s="202">
        <v>1</v>
      </c>
      <c r="AN25" s="202">
        <v>3</v>
      </c>
      <c r="AO25" s="202">
        <v>6</v>
      </c>
      <c r="AP25" s="202">
        <v>1</v>
      </c>
      <c r="AQ25" s="202">
        <v>0</v>
      </c>
      <c r="AR25" s="197"/>
      <c r="AS25" s="197"/>
      <c r="AT25" s="198">
        <f t="shared" si="6"/>
        <v>43</v>
      </c>
      <c r="AU25" s="203">
        <v>2</v>
      </c>
      <c r="AV25" s="203">
        <v>0</v>
      </c>
      <c r="AW25" s="203">
        <v>4</v>
      </c>
      <c r="AX25" s="203">
        <v>0</v>
      </c>
      <c r="AY25" s="203">
        <v>2</v>
      </c>
      <c r="AZ25" s="203">
        <v>2</v>
      </c>
      <c r="BA25" s="203">
        <v>2</v>
      </c>
      <c r="BB25" s="203">
        <v>0</v>
      </c>
      <c r="BC25" s="203">
        <v>1</v>
      </c>
      <c r="BD25" s="203">
        <v>0</v>
      </c>
      <c r="BE25" s="203">
        <v>0</v>
      </c>
      <c r="BF25" s="203">
        <v>1</v>
      </c>
      <c r="BG25" s="197"/>
      <c r="BH25" s="197"/>
      <c r="BI25" s="198">
        <f t="shared" si="7"/>
        <v>14</v>
      </c>
    </row>
    <row r="26" spans="1:61" ht="15" x14ac:dyDescent="0.25">
      <c r="A26" s="199" t="s">
        <v>697</v>
      </c>
      <c r="B26" s="200">
        <v>2</v>
      </c>
      <c r="C26" s="200">
        <v>1</v>
      </c>
      <c r="D26" s="200">
        <v>0</v>
      </c>
      <c r="E26" s="200">
        <v>0</v>
      </c>
      <c r="F26" s="200">
        <v>0</v>
      </c>
      <c r="G26" s="200">
        <v>1</v>
      </c>
      <c r="H26" s="200">
        <v>1</v>
      </c>
      <c r="I26" s="200">
        <v>3</v>
      </c>
      <c r="J26" s="200">
        <v>1</v>
      </c>
      <c r="K26" s="200">
        <v>0</v>
      </c>
      <c r="L26" s="200">
        <v>0</v>
      </c>
      <c r="M26" s="200">
        <v>0</v>
      </c>
      <c r="N26" s="197"/>
      <c r="O26" s="197"/>
      <c r="P26" s="198">
        <f t="shared" si="4"/>
        <v>9</v>
      </c>
      <c r="Q26" s="201">
        <v>7</v>
      </c>
      <c r="R26" s="201">
        <v>3</v>
      </c>
      <c r="S26" s="201">
        <v>2</v>
      </c>
      <c r="T26" s="201">
        <v>5</v>
      </c>
      <c r="U26" s="201">
        <v>12</v>
      </c>
      <c r="V26" s="201">
        <v>6</v>
      </c>
      <c r="W26" s="201">
        <v>5</v>
      </c>
      <c r="X26" s="201">
        <v>2</v>
      </c>
      <c r="Y26" s="201">
        <v>5</v>
      </c>
      <c r="Z26" s="201">
        <v>8</v>
      </c>
      <c r="AA26" s="201">
        <v>9</v>
      </c>
      <c r="AB26" s="201">
        <v>12</v>
      </c>
      <c r="AC26" s="197"/>
      <c r="AD26" s="197"/>
      <c r="AE26" s="198">
        <f t="shared" si="5"/>
        <v>76</v>
      </c>
      <c r="AF26" s="202">
        <v>9</v>
      </c>
      <c r="AG26" s="202">
        <v>4</v>
      </c>
      <c r="AH26" s="202">
        <v>8</v>
      </c>
      <c r="AI26" s="202">
        <v>3</v>
      </c>
      <c r="AJ26" s="202">
        <v>1</v>
      </c>
      <c r="AK26" s="202">
        <v>2</v>
      </c>
      <c r="AL26" s="202">
        <v>4</v>
      </c>
      <c r="AM26" s="202">
        <v>7</v>
      </c>
      <c r="AN26" s="202">
        <v>6</v>
      </c>
      <c r="AO26" s="202">
        <v>6</v>
      </c>
      <c r="AP26" s="202">
        <v>3</v>
      </c>
      <c r="AQ26" s="202">
        <v>1</v>
      </c>
      <c r="AR26" s="197"/>
      <c r="AS26" s="197"/>
      <c r="AT26" s="198">
        <f t="shared" si="6"/>
        <v>54</v>
      </c>
      <c r="AU26" s="203">
        <v>0</v>
      </c>
      <c r="AV26" s="203">
        <v>1</v>
      </c>
      <c r="AW26" s="203">
        <v>0</v>
      </c>
      <c r="AX26" s="203">
        <v>0</v>
      </c>
      <c r="AY26" s="203">
        <v>0</v>
      </c>
      <c r="AZ26" s="203">
        <v>4</v>
      </c>
      <c r="BA26" s="203">
        <v>0</v>
      </c>
      <c r="BB26" s="203">
        <v>2</v>
      </c>
      <c r="BC26" s="203">
        <v>1</v>
      </c>
      <c r="BD26" s="203">
        <v>3</v>
      </c>
      <c r="BE26" s="203">
        <v>1</v>
      </c>
      <c r="BF26" s="203">
        <v>0</v>
      </c>
      <c r="BG26" s="197"/>
      <c r="BH26" s="197"/>
      <c r="BI26" s="198">
        <f t="shared" si="7"/>
        <v>12</v>
      </c>
    </row>
    <row r="27" spans="1:61" ht="15" x14ac:dyDescent="0.25">
      <c r="A27" s="199" t="s">
        <v>698</v>
      </c>
      <c r="B27" s="200">
        <v>12</v>
      </c>
      <c r="C27" s="200">
        <v>6</v>
      </c>
      <c r="D27" s="200">
        <v>4</v>
      </c>
      <c r="E27" s="200">
        <v>2</v>
      </c>
      <c r="F27" s="200">
        <v>3</v>
      </c>
      <c r="G27" s="200">
        <v>2</v>
      </c>
      <c r="H27" s="200">
        <v>0</v>
      </c>
      <c r="I27" s="200">
        <v>1</v>
      </c>
      <c r="J27" s="200">
        <v>1</v>
      </c>
      <c r="K27" s="200">
        <v>0</v>
      </c>
      <c r="L27" s="200">
        <v>0</v>
      </c>
      <c r="M27" s="200">
        <v>0</v>
      </c>
      <c r="N27" s="197"/>
      <c r="O27" s="197"/>
      <c r="P27" s="198">
        <f t="shared" si="4"/>
        <v>31</v>
      </c>
      <c r="Q27" s="201">
        <v>1</v>
      </c>
      <c r="R27" s="201">
        <v>1</v>
      </c>
      <c r="S27" s="201">
        <v>2</v>
      </c>
      <c r="T27" s="201">
        <v>1</v>
      </c>
      <c r="U27" s="201">
        <v>2</v>
      </c>
      <c r="V27" s="201">
        <v>1</v>
      </c>
      <c r="W27" s="201">
        <v>2</v>
      </c>
      <c r="X27" s="201">
        <v>0</v>
      </c>
      <c r="Y27" s="201">
        <v>1</v>
      </c>
      <c r="Z27" s="201">
        <v>4</v>
      </c>
      <c r="AA27" s="201">
        <v>2</v>
      </c>
      <c r="AB27" s="201">
        <v>1</v>
      </c>
      <c r="AC27" s="197"/>
      <c r="AD27" s="197"/>
      <c r="AE27" s="198">
        <f t="shared" si="5"/>
        <v>18</v>
      </c>
      <c r="AF27" s="202">
        <v>11</v>
      </c>
      <c r="AG27" s="202">
        <v>4</v>
      </c>
      <c r="AH27" s="202">
        <v>6</v>
      </c>
      <c r="AI27" s="202">
        <v>5</v>
      </c>
      <c r="AJ27" s="202">
        <v>11</v>
      </c>
      <c r="AK27" s="202">
        <v>2</v>
      </c>
      <c r="AL27" s="202">
        <v>2</v>
      </c>
      <c r="AM27" s="202">
        <v>5</v>
      </c>
      <c r="AN27" s="202">
        <v>3</v>
      </c>
      <c r="AO27" s="202">
        <v>4</v>
      </c>
      <c r="AP27" s="202">
        <v>2</v>
      </c>
      <c r="AQ27" s="202">
        <v>1</v>
      </c>
      <c r="AR27" s="197"/>
      <c r="AS27" s="197"/>
      <c r="AT27" s="198">
        <f t="shared" si="6"/>
        <v>56</v>
      </c>
      <c r="AU27" s="203">
        <v>6</v>
      </c>
      <c r="AV27" s="203">
        <v>2</v>
      </c>
      <c r="AW27" s="203">
        <v>1</v>
      </c>
      <c r="AX27" s="203">
        <v>1</v>
      </c>
      <c r="AY27" s="203">
        <v>1</v>
      </c>
      <c r="AZ27" s="203">
        <v>1</v>
      </c>
      <c r="BA27" s="203">
        <v>2</v>
      </c>
      <c r="BB27" s="203">
        <v>0</v>
      </c>
      <c r="BC27" s="203">
        <v>1</v>
      </c>
      <c r="BD27" s="203">
        <v>0</v>
      </c>
      <c r="BE27" s="203">
        <v>4</v>
      </c>
      <c r="BF27" s="203">
        <v>0</v>
      </c>
      <c r="BG27" s="197"/>
      <c r="BH27" s="197"/>
      <c r="BI27" s="198">
        <f t="shared" si="7"/>
        <v>19</v>
      </c>
    </row>
    <row r="28" spans="1:61" ht="15" x14ac:dyDescent="0.25">
      <c r="A28" s="199" t="s">
        <v>699</v>
      </c>
      <c r="B28" s="200">
        <v>0</v>
      </c>
      <c r="C28" s="200">
        <v>1</v>
      </c>
      <c r="D28" s="200">
        <v>2</v>
      </c>
      <c r="E28" s="200">
        <v>1</v>
      </c>
      <c r="F28" s="200">
        <v>2</v>
      </c>
      <c r="G28" s="200">
        <v>2</v>
      </c>
      <c r="H28" s="200">
        <v>4</v>
      </c>
      <c r="I28" s="200">
        <v>2</v>
      </c>
      <c r="J28" s="200">
        <v>2</v>
      </c>
      <c r="K28" s="200">
        <v>3</v>
      </c>
      <c r="L28" s="200">
        <v>1</v>
      </c>
      <c r="M28" s="200">
        <v>0</v>
      </c>
      <c r="N28" s="197"/>
      <c r="O28" s="197"/>
      <c r="P28" s="198">
        <f t="shared" si="4"/>
        <v>20</v>
      </c>
      <c r="Q28" s="201">
        <v>12</v>
      </c>
      <c r="R28" s="201">
        <v>3</v>
      </c>
      <c r="S28" s="201">
        <v>0</v>
      </c>
      <c r="T28" s="201">
        <v>2</v>
      </c>
      <c r="U28" s="201">
        <v>2</v>
      </c>
      <c r="V28" s="201">
        <v>2</v>
      </c>
      <c r="W28" s="201">
        <v>0</v>
      </c>
      <c r="X28" s="201">
        <v>3</v>
      </c>
      <c r="Y28" s="201">
        <v>1</v>
      </c>
      <c r="Z28" s="201">
        <v>2</v>
      </c>
      <c r="AA28" s="201">
        <v>2</v>
      </c>
      <c r="AB28" s="201">
        <v>20</v>
      </c>
      <c r="AC28" s="197"/>
      <c r="AD28" s="197"/>
      <c r="AE28" s="198">
        <f t="shared" si="5"/>
        <v>49</v>
      </c>
      <c r="AF28" s="202">
        <v>2</v>
      </c>
      <c r="AG28" s="202">
        <v>0</v>
      </c>
      <c r="AH28" s="202">
        <v>2</v>
      </c>
      <c r="AI28" s="202">
        <v>4</v>
      </c>
      <c r="AJ28" s="202">
        <v>2</v>
      </c>
      <c r="AK28" s="202">
        <v>2</v>
      </c>
      <c r="AL28" s="202">
        <v>5</v>
      </c>
      <c r="AM28" s="202">
        <v>1</v>
      </c>
      <c r="AN28" s="202">
        <v>1</v>
      </c>
      <c r="AO28" s="202">
        <v>2</v>
      </c>
      <c r="AP28" s="202">
        <v>0</v>
      </c>
      <c r="AQ28" s="202">
        <v>2</v>
      </c>
      <c r="AR28" s="197"/>
      <c r="AS28" s="197"/>
      <c r="AT28" s="198">
        <f t="shared" si="6"/>
        <v>23</v>
      </c>
      <c r="AU28" s="203">
        <v>1</v>
      </c>
      <c r="AV28" s="203">
        <v>0</v>
      </c>
      <c r="AW28" s="203">
        <v>1</v>
      </c>
      <c r="AX28" s="203">
        <v>10</v>
      </c>
      <c r="AY28" s="203">
        <v>2</v>
      </c>
      <c r="AZ28" s="203">
        <v>0</v>
      </c>
      <c r="BA28" s="203">
        <v>1</v>
      </c>
      <c r="BB28" s="203">
        <v>2</v>
      </c>
      <c r="BC28" s="203">
        <v>1</v>
      </c>
      <c r="BD28" s="203">
        <v>1</v>
      </c>
      <c r="BE28" s="203">
        <v>0</v>
      </c>
      <c r="BF28" s="203">
        <v>0</v>
      </c>
      <c r="BG28" s="197"/>
      <c r="BH28" s="197"/>
      <c r="BI28" s="198">
        <f t="shared" si="7"/>
        <v>19</v>
      </c>
    </row>
    <row r="29" spans="1:61" ht="15" x14ac:dyDescent="0.25">
      <c r="A29" s="199" t="s">
        <v>700</v>
      </c>
      <c r="B29" s="200">
        <v>2</v>
      </c>
      <c r="C29" s="200">
        <v>2</v>
      </c>
      <c r="D29" s="200">
        <v>6</v>
      </c>
      <c r="E29" s="200">
        <v>1</v>
      </c>
      <c r="F29" s="200">
        <v>4</v>
      </c>
      <c r="G29" s="200">
        <v>2</v>
      </c>
      <c r="H29" s="200">
        <v>2</v>
      </c>
      <c r="I29" s="200">
        <v>2</v>
      </c>
      <c r="J29" s="200">
        <v>2</v>
      </c>
      <c r="K29" s="200">
        <v>1</v>
      </c>
      <c r="L29" s="200">
        <v>3</v>
      </c>
      <c r="M29" s="200">
        <v>0</v>
      </c>
      <c r="N29" s="197"/>
      <c r="O29" s="197"/>
      <c r="P29" s="198">
        <f t="shared" si="4"/>
        <v>27</v>
      </c>
      <c r="Q29" s="201">
        <v>7</v>
      </c>
      <c r="R29" s="201">
        <v>3</v>
      </c>
      <c r="S29" s="201">
        <v>5</v>
      </c>
      <c r="T29" s="201">
        <v>2</v>
      </c>
      <c r="U29" s="201">
        <v>7</v>
      </c>
      <c r="V29" s="201">
        <v>2</v>
      </c>
      <c r="W29" s="201">
        <v>5</v>
      </c>
      <c r="X29" s="201">
        <v>0</v>
      </c>
      <c r="Y29" s="201">
        <v>2</v>
      </c>
      <c r="Z29" s="201">
        <v>1</v>
      </c>
      <c r="AA29" s="201">
        <v>1</v>
      </c>
      <c r="AB29" s="201">
        <v>2</v>
      </c>
      <c r="AC29" s="197"/>
      <c r="AD29" s="197"/>
      <c r="AE29" s="198">
        <f t="shared" si="5"/>
        <v>37</v>
      </c>
      <c r="AF29" s="202">
        <v>14</v>
      </c>
      <c r="AG29" s="202">
        <v>9</v>
      </c>
      <c r="AH29" s="202">
        <v>18</v>
      </c>
      <c r="AI29" s="202">
        <v>4</v>
      </c>
      <c r="AJ29" s="202">
        <v>16</v>
      </c>
      <c r="AK29" s="202">
        <v>4</v>
      </c>
      <c r="AL29" s="202">
        <v>8</v>
      </c>
      <c r="AM29" s="202">
        <v>4</v>
      </c>
      <c r="AN29" s="202">
        <v>11</v>
      </c>
      <c r="AO29" s="202">
        <v>2</v>
      </c>
      <c r="AP29" s="202">
        <v>3</v>
      </c>
      <c r="AQ29" s="202">
        <v>3</v>
      </c>
      <c r="AR29" s="197"/>
      <c r="AS29" s="197"/>
      <c r="AT29" s="198">
        <f t="shared" si="6"/>
        <v>96</v>
      </c>
      <c r="AU29" s="203">
        <v>2</v>
      </c>
      <c r="AV29" s="203">
        <v>4</v>
      </c>
      <c r="AW29" s="203">
        <v>1</v>
      </c>
      <c r="AX29" s="203">
        <v>2</v>
      </c>
      <c r="AY29" s="203">
        <v>1</v>
      </c>
      <c r="AZ29" s="203">
        <v>0</v>
      </c>
      <c r="BA29" s="203">
        <v>3</v>
      </c>
      <c r="BB29" s="203">
        <v>2</v>
      </c>
      <c r="BC29" s="203">
        <v>4</v>
      </c>
      <c r="BD29" s="203">
        <v>1</v>
      </c>
      <c r="BE29" s="203">
        <v>1</v>
      </c>
      <c r="BF29" s="203">
        <v>1</v>
      </c>
      <c r="BG29" s="197"/>
      <c r="BH29" s="197"/>
      <c r="BI29" s="198">
        <f t="shared" si="7"/>
        <v>22</v>
      </c>
    </row>
    <row r="30" spans="1:61" ht="15" x14ac:dyDescent="0.25">
      <c r="A30" s="199" t="s">
        <v>701</v>
      </c>
      <c r="B30" s="200">
        <v>2</v>
      </c>
      <c r="C30" s="200">
        <v>4</v>
      </c>
      <c r="D30" s="200">
        <v>3</v>
      </c>
      <c r="E30" s="200">
        <v>3</v>
      </c>
      <c r="F30" s="200">
        <v>2</v>
      </c>
      <c r="G30" s="200">
        <v>1</v>
      </c>
      <c r="H30" s="200">
        <v>2</v>
      </c>
      <c r="I30" s="200">
        <v>1</v>
      </c>
      <c r="J30" s="200">
        <v>0</v>
      </c>
      <c r="K30" s="200">
        <v>1</v>
      </c>
      <c r="L30" s="200">
        <v>0</v>
      </c>
      <c r="M30" s="200">
        <v>0</v>
      </c>
      <c r="N30" s="197"/>
      <c r="O30" s="197"/>
      <c r="P30" s="198">
        <f t="shared" si="4"/>
        <v>19</v>
      </c>
      <c r="Q30" s="201">
        <v>2</v>
      </c>
      <c r="R30" s="201">
        <v>1</v>
      </c>
      <c r="S30" s="201">
        <v>3</v>
      </c>
      <c r="T30" s="201">
        <v>2</v>
      </c>
      <c r="U30" s="201">
        <v>4</v>
      </c>
      <c r="V30" s="201">
        <v>1</v>
      </c>
      <c r="W30" s="201">
        <v>2</v>
      </c>
      <c r="X30" s="201">
        <v>1</v>
      </c>
      <c r="Y30" s="201">
        <v>2</v>
      </c>
      <c r="Z30" s="201">
        <v>0</v>
      </c>
      <c r="AA30" s="201">
        <v>1</v>
      </c>
      <c r="AB30" s="201">
        <v>0</v>
      </c>
      <c r="AC30" s="197"/>
      <c r="AD30" s="197"/>
      <c r="AE30" s="198">
        <f t="shared" si="5"/>
        <v>19</v>
      </c>
      <c r="AF30" s="202">
        <v>7</v>
      </c>
      <c r="AG30" s="202">
        <v>5</v>
      </c>
      <c r="AH30" s="202">
        <v>10</v>
      </c>
      <c r="AI30" s="202">
        <v>9</v>
      </c>
      <c r="AJ30" s="202">
        <v>6</v>
      </c>
      <c r="AK30" s="202">
        <v>5</v>
      </c>
      <c r="AL30" s="202">
        <v>5</v>
      </c>
      <c r="AM30" s="202">
        <v>5</v>
      </c>
      <c r="AN30" s="202">
        <v>1</v>
      </c>
      <c r="AO30" s="202">
        <v>4</v>
      </c>
      <c r="AP30" s="202">
        <v>3</v>
      </c>
      <c r="AQ30" s="202">
        <v>11</v>
      </c>
      <c r="AR30" s="197"/>
      <c r="AS30" s="197"/>
      <c r="AT30" s="198">
        <f t="shared" si="6"/>
        <v>71</v>
      </c>
      <c r="AU30" s="203">
        <v>5</v>
      </c>
      <c r="AV30" s="203">
        <v>1</v>
      </c>
      <c r="AW30" s="203">
        <v>6</v>
      </c>
      <c r="AX30" s="203">
        <v>2</v>
      </c>
      <c r="AY30" s="203">
        <v>4</v>
      </c>
      <c r="AZ30" s="203">
        <v>1</v>
      </c>
      <c r="BA30" s="203">
        <v>3</v>
      </c>
      <c r="BB30" s="203">
        <v>6</v>
      </c>
      <c r="BC30" s="203">
        <v>1</v>
      </c>
      <c r="BD30" s="203">
        <v>3</v>
      </c>
      <c r="BE30" s="203">
        <v>1</v>
      </c>
      <c r="BF30" s="203">
        <v>0</v>
      </c>
      <c r="BG30" s="197"/>
      <c r="BH30" s="197"/>
      <c r="BI30" s="198">
        <f t="shared" si="7"/>
        <v>33</v>
      </c>
    </row>
    <row r="31" spans="1:61" ht="15" x14ac:dyDescent="0.25">
      <c r="A31" s="195" t="s">
        <v>702</v>
      </c>
      <c r="B31" s="204">
        <f>SUM(B24:B30)</f>
        <v>20</v>
      </c>
      <c r="C31" s="204">
        <f t="shared" ref="C31:BI31" si="10">SUM(C24:C30)</f>
        <v>17</v>
      </c>
      <c r="D31" s="204">
        <f t="shared" si="10"/>
        <v>17</v>
      </c>
      <c r="E31" s="204">
        <f t="shared" si="10"/>
        <v>11</v>
      </c>
      <c r="F31" s="204">
        <f t="shared" si="10"/>
        <v>12</v>
      </c>
      <c r="G31" s="204">
        <f t="shared" si="10"/>
        <v>10</v>
      </c>
      <c r="H31" s="204">
        <f t="shared" si="10"/>
        <v>9</v>
      </c>
      <c r="I31" s="204">
        <f t="shared" si="10"/>
        <v>10</v>
      </c>
      <c r="J31" s="204">
        <f t="shared" si="10"/>
        <v>6</v>
      </c>
      <c r="K31" s="204">
        <f t="shared" si="10"/>
        <v>6</v>
      </c>
      <c r="L31" s="204">
        <f t="shared" si="10"/>
        <v>5</v>
      </c>
      <c r="M31" s="204">
        <f t="shared" si="10"/>
        <v>1</v>
      </c>
      <c r="N31" s="205">
        <f>B31+D31+F31+H31+J31+L31</f>
        <v>69</v>
      </c>
      <c r="O31" s="205">
        <f>C31+E31+G31+I31+K31+M31</f>
        <v>55</v>
      </c>
      <c r="P31" s="204">
        <f t="shared" si="10"/>
        <v>124</v>
      </c>
      <c r="Q31" s="204">
        <f t="shared" si="10"/>
        <v>31</v>
      </c>
      <c r="R31" s="204">
        <f t="shared" si="10"/>
        <v>13</v>
      </c>
      <c r="S31" s="204">
        <f t="shared" si="10"/>
        <v>16</v>
      </c>
      <c r="T31" s="204">
        <f t="shared" si="10"/>
        <v>17</v>
      </c>
      <c r="U31" s="204">
        <f t="shared" si="10"/>
        <v>33</v>
      </c>
      <c r="V31" s="204">
        <f t="shared" si="10"/>
        <v>13</v>
      </c>
      <c r="W31" s="204">
        <f t="shared" si="10"/>
        <v>17</v>
      </c>
      <c r="X31" s="204">
        <f t="shared" si="10"/>
        <v>7</v>
      </c>
      <c r="Y31" s="204">
        <f t="shared" si="10"/>
        <v>12</v>
      </c>
      <c r="Z31" s="204">
        <f t="shared" si="10"/>
        <v>15</v>
      </c>
      <c r="AA31" s="204">
        <f t="shared" si="10"/>
        <v>15</v>
      </c>
      <c r="AB31" s="204">
        <f t="shared" si="10"/>
        <v>35</v>
      </c>
      <c r="AC31" s="205">
        <f>Q31+S31+U31+W31+Y31+AA31</f>
        <v>124</v>
      </c>
      <c r="AD31" s="205">
        <f>R31+T31+V31+X31+Z31+AB31</f>
        <v>100</v>
      </c>
      <c r="AE31" s="204">
        <f t="shared" si="10"/>
        <v>224</v>
      </c>
      <c r="AF31" s="204">
        <f t="shared" si="10"/>
        <v>62</v>
      </c>
      <c r="AG31" s="204">
        <f t="shared" si="10"/>
        <v>26</v>
      </c>
      <c r="AH31" s="204">
        <f t="shared" si="10"/>
        <v>68</v>
      </c>
      <c r="AI31" s="204">
        <f t="shared" si="10"/>
        <v>31</v>
      </c>
      <c r="AJ31" s="204">
        <f t="shared" si="10"/>
        <v>43</v>
      </c>
      <c r="AK31" s="204">
        <f t="shared" si="10"/>
        <v>24</v>
      </c>
      <c r="AL31" s="204">
        <f t="shared" si="10"/>
        <v>31</v>
      </c>
      <c r="AM31" s="204">
        <f t="shared" si="10"/>
        <v>29</v>
      </c>
      <c r="AN31" s="204">
        <f t="shared" si="10"/>
        <v>29</v>
      </c>
      <c r="AO31" s="204">
        <f t="shared" si="10"/>
        <v>27</v>
      </c>
      <c r="AP31" s="204">
        <f t="shared" si="10"/>
        <v>12</v>
      </c>
      <c r="AQ31" s="204">
        <f t="shared" si="10"/>
        <v>18</v>
      </c>
      <c r="AR31" s="205">
        <f>AF31+AH31+AJ31+AL31+AN31+AP31</f>
        <v>245</v>
      </c>
      <c r="AS31" s="205">
        <f>AG31+AI31+AK31+AM31+AO31+AQ31</f>
        <v>155</v>
      </c>
      <c r="AT31" s="204">
        <f t="shared" si="10"/>
        <v>400</v>
      </c>
      <c r="AU31" s="204">
        <f t="shared" si="10"/>
        <v>16</v>
      </c>
      <c r="AV31" s="204">
        <f t="shared" si="10"/>
        <v>11</v>
      </c>
      <c r="AW31" s="204">
        <f t="shared" si="10"/>
        <v>15</v>
      </c>
      <c r="AX31" s="204">
        <f t="shared" si="10"/>
        <v>17</v>
      </c>
      <c r="AY31" s="204">
        <f t="shared" si="10"/>
        <v>11</v>
      </c>
      <c r="AZ31" s="204">
        <f t="shared" si="10"/>
        <v>8</v>
      </c>
      <c r="BA31" s="204">
        <f t="shared" si="10"/>
        <v>12</v>
      </c>
      <c r="BB31" s="204">
        <f t="shared" si="10"/>
        <v>12</v>
      </c>
      <c r="BC31" s="204">
        <f t="shared" si="10"/>
        <v>10</v>
      </c>
      <c r="BD31" s="204">
        <f t="shared" si="10"/>
        <v>8</v>
      </c>
      <c r="BE31" s="204">
        <f t="shared" si="10"/>
        <v>8</v>
      </c>
      <c r="BF31" s="204">
        <f t="shared" si="10"/>
        <v>2</v>
      </c>
      <c r="BG31" s="205">
        <f>AU31+AW31+AY31+BA31+BC31+BE31</f>
        <v>72</v>
      </c>
      <c r="BH31" s="205">
        <f>AV31+AX31+AZ31+BB31+BD31+BF31</f>
        <v>58</v>
      </c>
      <c r="BI31" s="204">
        <f t="shared" si="10"/>
        <v>130</v>
      </c>
    </row>
    <row r="32" spans="1:61" ht="15.75" thickBot="1" x14ac:dyDescent="0.3">
      <c r="A32" s="206" t="s">
        <v>703</v>
      </c>
      <c r="B32" s="207">
        <f>B7+B8+B9+B13+B23+B31</f>
        <v>58</v>
      </c>
      <c r="C32" s="207">
        <f t="shared" ref="C32:BI32" si="11">C7+C8+C9+C13+C23+C31</f>
        <v>46</v>
      </c>
      <c r="D32" s="207">
        <f t="shared" si="11"/>
        <v>51</v>
      </c>
      <c r="E32" s="207">
        <f t="shared" si="11"/>
        <v>28</v>
      </c>
      <c r="F32" s="207">
        <f t="shared" si="11"/>
        <v>49</v>
      </c>
      <c r="G32" s="207">
        <f t="shared" si="11"/>
        <v>44</v>
      </c>
      <c r="H32" s="207">
        <f t="shared" si="11"/>
        <v>46</v>
      </c>
      <c r="I32" s="207">
        <f t="shared" si="11"/>
        <v>37</v>
      </c>
      <c r="J32" s="207">
        <f t="shared" si="11"/>
        <v>40</v>
      </c>
      <c r="K32" s="207">
        <f t="shared" si="11"/>
        <v>42</v>
      </c>
      <c r="L32" s="207">
        <f t="shared" si="11"/>
        <v>40</v>
      </c>
      <c r="M32" s="207">
        <f t="shared" si="11"/>
        <v>37</v>
      </c>
      <c r="N32" s="208">
        <f>B32+D32+F32+H32+J32+L32</f>
        <v>284</v>
      </c>
      <c r="O32" s="208">
        <f>C32+E32+G32+I32+K32+M32</f>
        <v>234</v>
      </c>
      <c r="P32" s="207">
        <f t="shared" si="11"/>
        <v>518</v>
      </c>
      <c r="Q32" s="207">
        <f t="shared" si="11"/>
        <v>260</v>
      </c>
      <c r="R32" s="207">
        <f t="shared" si="11"/>
        <v>193</v>
      </c>
      <c r="S32" s="207">
        <f t="shared" si="11"/>
        <v>280</v>
      </c>
      <c r="T32" s="207">
        <f t="shared" si="11"/>
        <v>226</v>
      </c>
      <c r="U32" s="207">
        <f t="shared" si="11"/>
        <v>316</v>
      </c>
      <c r="V32" s="207">
        <f t="shared" si="11"/>
        <v>195</v>
      </c>
      <c r="W32" s="207">
        <f t="shared" si="11"/>
        <v>247</v>
      </c>
      <c r="X32" s="207">
        <f t="shared" si="11"/>
        <v>224</v>
      </c>
      <c r="Y32" s="207">
        <f t="shared" si="11"/>
        <v>317</v>
      </c>
      <c r="Z32" s="207">
        <f t="shared" si="11"/>
        <v>193</v>
      </c>
      <c r="AA32" s="207">
        <f t="shared" si="11"/>
        <v>276</v>
      </c>
      <c r="AB32" s="207">
        <f t="shared" si="11"/>
        <v>137</v>
      </c>
      <c r="AC32" s="208">
        <f>SUM(AC7:AC31)</f>
        <v>1696</v>
      </c>
      <c r="AD32" s="208">
        <f>SUM(AD7:AD31)</f>
        <v>1168</v>
      </c>
      <c r="AE32" s="207">
        <f t="shared" si="11"/>
        <v>2864</v>
      </c>
      <c r="AF32" s="207">
        <f t="shared" si="11"/>
        <v>176</v>
      </c>
      <c r="AG32" s="207">
        <f t="shared" si="11"/>
        <v>109</v>
      </c>
      <c r="AH32" s="207">
        <f t="shared" si="11"/>
        <v>161</v>
      </c>
      <c r="AI32" s="207">
        <f t="shared" si="11"/>
        <v>101</v>
      </c>
      <c r="AJ32" s="207">
        <f t="shared" si="11"/>
        <v>130</v>
      </c>
      <c r="AK32" s="207">
        <f t="shared" si="11"/>
        <v>104</v>
      </c>
      <c r="AL32" s="207">
        <f t="shared" si="11"/>
        <v>138</v>
      </c>
      <c r="AM32" s="207">
        <f t="shared" si="11"/>
        <v>86</v>
      </c>
      <c r="AN32" s="207">
        <f t="shared" si="11"/>
        <v>84</v>
      </c>
      <c r="AO32" s="207">
        <f t="shared" si="11"/>
        <v>68</v>
      </c>
      <c r="AP32" s="207">
        <f t="shared" si="11"/>
        <v>52</v>
      </c>
      <c r="AQ32" s="207">
        <f t="shared" si="11"/>
        <v>53</v>
      </c>
      <c r="AR32" s="208">
        <f>SUM(AR7:AR31)</f>
        <v>741</v>
      </c>
      <c r="AS32" s="207">
        <f>SUM(AS7:AS31)</f>
        <v>521</v>
      </c>
      <c r="AT32" s="207">
        <f t="shared" si="11"/>
        <v>1262</v>
      </c>
      <c r="AU32" s="207">
        <f t="shared" si="11"/>
        <v>251</v>
      </c>
      <c r="AV32" s="207">
        <f t="shared" si="11"/>
        <v>153</v>
      </c>
      <c r="AW32" s="207">
        <f t="shared" si="11"/>
        <v>153</v>
      </c>
      <c r="AX32" s="207">
        <f t="shared" si="11"/>
        <v>77</v>
      </c>
      <c r="AY32" s="207">
        <f t="shared" si="11"/>
        <v>119</v>
      </c>
      <c r="AZ32" s="207">
        <f t="shared" si="11"/>
        <v>57</v>
      </c>
      <c r="BA32" s="207">
        <f t="shared" si="11"/>
        <v>65</v>
      </c>
      <c r="BB32" s="207">
        <f t="shared" si="11"/>
        <v>59</v>
      </c>
      <c r="BC32" s="207">
        <f t="shared" si="11"/>
        <v>39</v>
      </c>
      <c r="BD32" s="207">
        <f t="shared" si="11"/>
        <v>43</v>
      </c>
      <c r="BE32" s="207">
        <f t="shared" si="11"/>
        <v>39</v>
      </c>
      <c r="BF32" s="207">
        <f t="shared" si="11"/>
        <v>26</v>
      </c>
      <c r="BG32" s="208">
        <f>SUM(BG7:BG31)</f>
        <v>666</v>
      </c>
      <c r="BH32" s="208">
        <f>SUM(BH7:BH31)</f>
        <v>415</v>
      </c>
      <c r="BI32" s="207">
        <f t="shared" si="11"/>
        <v>1081</v>
      </c>
    </row>
    <row r="34" spans="1:19" ht="15" x14ac:dyDescent="0.25">
      <c r="A34" s="209" t="s">
        <v>704</v>
      </c>
    </row>
    <row r="35" spans="1:19" ht="15" x14ac:dyDescent="0.25">
      <c r="A35" s="2"/>
      <c r="B35" s="2509" t="s">
        <v>705</v>
      </c>
      <c r="C35" s="2509"/>
      <c r="D35" s="2509" t="s">
        <v>706</v>
      </c>
      <c r="E35" s="2509"/>
      <c r="F35" s="2509" t="s">
        <v>707</v>
      </c>
      <c r="G35" s="2509"/>
      <c r="H35" s="2509" t="s">
        <v>708</v>
      </c>
      <c r="I35" s="2509"/>
      <c r="J35" s="2522" t="s">
        <v>68</v>
      </c>
      <c r="K35" s="2523"/>
      <c r="L35" s="2524"/>
    </row>
    <row r="36" spans="1:19" ht="15" x14ac:dyDescent="0.25">
      <c r="A36" s="210" t="s">
        <v>221</v>
      </c>
      <c r="B36" s="167" t="s">
        <v>48</v>
      </c>
      <c r="C36" s="158" t="s">
        <v>47</v>
      </c>
      <c r="D36" s="158" t="s">
        <v>48</v>
      </c>
      <c r="E36" s="158" t="s">
        <v>47</v>
      </c>
      <c r="F36" s="158" t="s">
        <v>48</v>
      </c>
      <c r="G36" s="158" t="s">
        <v>47</v>
      </c>
      <c r="H36" s="158" t="s">
        <v>48</v>
      </c>
      <c r="I36" s="158" t="s">
        <v>47</v>
      </c>
      <c r="J36" s="211" t="s">
        <v>48</v>
      </c>
      <c r="K36" s="211" t="s">
        <v>47</v>
      </c>
      <c r="L36" s="211" t="s">
        <v>709</v>
      </c>
      <c r="M36" s="212" t="s">
        <v>710</v>
      </c>
    </row>
    <row r="37" spans="1:19" ht="15" x14ac:dyDescent="0.25">
      <c r="A37" s="210" t="s">
        <v>547</v>
      </c>
      <c r="B37" s="23">
        <f t="shared" ref="B37:C39" si="12">N7</f>
        <v>12</v>
      </c>
      <c r="C37" s="23">
        <f t="shared" si="12"/>
        <v>6</v>
      </c>
      <c r="D37" s="23">
        <f t="shared" ref="D37:E39" si="13">AC7</f>
        <v>15</v>
      </c>
      <c r="E37" s="23">
        <f t="shared" si="13"/>
        <v>5</v>
      </c>
      <c r="F37" s="23">
        <f>AR7</f>
        <v>17</v>
      </c>
      <c r="G37" s="23">
        <f>AD7</f>
        <v>5</v>
      </c>
      <c r="H37" s="23">
        <f t="shared" ref="H37:I39" si="14">BG7</f>
        <v>29</v>
      </c>
      <c r="I37" s="23">
        <f t="shared" si="14"/>
        <v>8</v>
      </c>
      <c r="J37" s="213">
        <f t="shared" ref="J37:K42" si="15">B37+D37+F37+H37</f>
        <v>73</v>
      </c>
      <c r="K37" s="213">
        <f t="shared" si="15"/>
        <v>24</v>
      </c>
      <c r="L37" s="213">
        <f>J37+K37</f>
        <v>97</v>
      </c>
      <c r="M37" s="214">
        <f t="shared" ref="M37:M43" si="16">K37/L37</f>
        <v>0.24742268041237114</v>
      </c>
    </row>
    <row r="38" spans="1:19" ht="15" x14ac:dyDescent="0.25">
      <c r="A38" s="210" t="s">
        <v>553</v>
      </c>
      <c r="B38" s="23">
        <f t="shared" si="12"/>
        <v>42</v>
      </c>
      <c r="C38" s="23">
        <f t="shared" si="12"/>
        <v>44</v>
      </c>
      <c r="D38" s="23">
        <f t="shared" si="13"/>
        <v>609</v>
      </c>
      <c r="E38" s="23">
        <f t="shared" si="13"/>
        <v>452</v>
      </c>
      <c r="F38" s="23">
        <f>AR8</f>
        <v>100</v>
      </c>
      <c r="G38" s="23">
        <f>AD8</f>
        <v>452</v>
      </c>
      <c r="H38" s="23">
        <f t="shared" si="14"/>
        <v>340</v>
      </c>
      <c r="I38" s="23">
        <f t="shared" si="14"/>
        <v>221</v>
      </c>
      <c r="J38" s="213">
        <f t="shared" si="15"/>
        <v>1091</v>
      </c>
      <c r="K38" s="213">
        <f t="shared" si="15"/>
        <v>1169</v>
      </c>
      <c r="L38" s="213">
        <f t="shared" ref="L38:L42" si="17">J38+K38</f>
        <v>2260</v>
      </c>
      <c r="M38">
        <f t="shared" si="16"/>
        <v>0.51725663716814163</v>
      </c>
    </row>
    <row r="39" spans="1:19" ht="15" x14ac:dyDescent="0.25">
      <c r="A39" s="210" t="s">
        <v>552</v>
      </c>
      <c r="B39" s="23">
        <f t="shared" si="12"/>
        <v>34</v>
      </c>
      <c r="C39" s="23">
        <f t="shared" si="12"/>
        <v>36</v>
      </c>
      <c r="D39" s="23">
        <f t="shared" si="13"/>
        <v>80</v>
      </c>
      <c r="E39" s="23">
        <f t="shared" si="13"/>
        <v>61</v>
      </c>
      <c r="F39" s="23">
        <f>AR9</f>
        <v>82</v>
      </c>
      <c r="G39" s="23">
        <f>AD9</f>
        <v>61</v>
      </c>
      <c r="H39" s="23">
        <f t="shared" si="14"/>
        <v>66</v>
      </c>
      <c r="I39" s="23">
        <f t="shared" si="14"/>
        <v>46</v>
      </c>
      <c r="J39" s="213">
        <f t="shared" si="15"/>
        <v>262</v>
      </c>
      <c r="K39" s="213">
        <f t="shared" si="15"/>
        <v>204</v>
      </c>
      <c r="L39" s="213">
        <f>J39+K39</f>
        <v>466</v>
      </c>
      <c r="M39">
        <f t="shared" si="16"/>
        <v>0.43776824034334766</v>
      </c>
    </row>
    <row r="40" spans="1:19" ht="15" x14ac:dyDescent="0.25">
      <c r="A40" s="210" t="s">
        <v>573</v>
      </c>
      <c r="B40" s="23">
        <f>N13</f>
        <v>77</v>
      </c>
      <c r="C40" s="23">
        <f>O13</f>
        <v>45</v>
      </c>
      <c r="D40" s="23">
        <f>AC13</f>
        <v>806</v>
      </c>
      <c r="E40" s="23">
        <f>AD13</f>
        <v>522</v>
      </c>
      <c r="F40" s="23">
        <f>AR13</f>
        <v>176</v>
      </c>
      <c r="G40" s="23">
        <f>AS13</f>
        <v>135</v>
      </c>
      <c r="H40" s="23">
        <f>BG13</f>
        <v>92</v>
      </c>
      <c r="I40" s="23">
        <f>BH13</f>
        <v>54</v>
      </c>
      <c r="J40" s="213">
        <f t="shared" si="15"/>
        <v>1151</v>
      </c>
      <c r="K40" s="213">
        <f t="shared" si="15"/>
        <v>756</v>
      </c>
      <c r="L40" s="213">
        <f t="shared" si="17"/>
        <v>1907</v>
      </c>
      <c r="M40" s="214">
        <f t="shared" si="16"/>
        <v>0.39643418982695333</v>
      </c>
    </row>
    <row r="41" spans="1:19" ht="15" x14ac:dyDescent="0.25">
      <c r="A41" s="210" t="s">
        <v>548</v>
      </c>
      <c r="B41" s="23">
        <f>N23</f>
        <v>50</v>
      </c>
      <c r="C41" s="23">
        <f>O23</f>
        <v>48</v>
      </c>
      <c r="D41" s="23">
        <f>AC23</f>
        <v>62</v>
      </c>
      <c r="E41" s="23">
        <f>AD23</f>
        <v>28</v>
      </c>
      <c r="F41" s="23">
        <f>AR23</f>
        <v>121</v>
      </c>
      <c r="G41" s="23">
        <f>AD23</f>
        <v>28</v>
      </c>
      <c r="H41" s="23">
        <f>BG23</f>
        <v>67</v>
      </c>
      <c r="I41" s="23">
        <f>BH23</f>
        <v>28</v>
      </c>
      <c r="J41" s="213">
        <f t="shared" si="15"/>
        <v>300</v>
      </c>
      <c r="K41" s="213">
        <f t="shared" si="15"/>
        <v>132</v>
      </c>
      <c r="L41" s="213">
        <f t="shared" si="17"/>
        <v>432</v>
      </c>
      <c r="M41" s="214">
        <f t="shared" si="16"/>
        <v>0.30555555555555558</v>
      </c>
    </row>
    <row r="42" spans="1:19" ht="15" x14ac:dyDescent="0.25">
      <c r="A42" s="210" t="s">
        <v>549</v>
      </c>
      <c r="B42" s="23">
        <f>N31</f>
        <v>69</v>
      </c>
      <c r="C42" s="23">
        <f>O31</f>
        <v>55</v>
      </c>
      <c r="D42" s="23">
        <f>AC31</f>
        <v>124</v>
      </c>
      <c r="E42" s="23">
        <f>AD31</f>
        <v>100</v>
      </c>
      <c r="F42" s="23">
        <f>AC31</f>
        <v>124</v>
      </c>
      <c r="G42" s="23">
        <f>AD31</f>
        <v>100</v>
      </c>
      <c r="H42" s="23">
        <f>BG31</f>
        <v>72</v>
      </c>
      <c r="I42" s="23">
        <f>AD31</f>
        <v>100</v>
      </c>
      <c r="J42" s="213">
        <f t="shared" si="15"/>
        <v>389</v>
      </c>
      <c r="K42" s="213">
        <f t="shared" si="15"/>
        <v>355</v>
      </c>
      <c r="L42" s="213">
        <f t="shared" si="17"/>
        <v>744</v>
      </c>
      <c r="M42">
        <f t="shared" si="16"/>
        <v>0.47715053763440862</v>
      </c>
    </row>
    <row r="43" spans="1:19" ht="15" x14ac:dyDescent="0.25">
      <c r="A43" s="210" t="s">
        <v>711</v>
      </c>
      <c r="B43" s="2"/>
      <c r="C43" s="2"/>
      <c r="D43" s="2"/>
      <c r="E43" s="2"/>
      <c r="F43" s="2"/>
      <c r="G43" s="2"/>
      <c r="H43" s="2"/>
      <c r="I43" s="2"/>
      <c r="J43" s="215">
        <f>SUM(J37:J42)</f>
        <v>3266</v>
      </c>
      <c r="K43" s="215">
        <f>SUM(K37:K42)</f>
        <v>2640</v>
      </c>
      <c r="L43" s="215">
        <f>SUM(L37:L42)</f>
        <v>5906</v>
      </c>
      <c r="M43">
        <f t="shared" si="16"/>
        <v>0.44700304774805283</v>
      </c>
    </row>
    <row r="45" spans="1:19" ht="15" x14ac:dyDescent="0.25">
      <c r="A45" s="216" t="s">
        <v>712</v>
      </c>
    </row>
    <row r="46" spans="1:19" ht="15" x14ac:dyDescent="0.25">
      <c r="A46" s="217"/>
      <c r="B46" s="2506" t="s">
        <v>713</v>
      </c>
      <c r="C46" s="2525"/>
      <c r="D46" s="2507"/>
      <c r="E46" s="34" t="s">
        <v>714</v>
      </c>
      <c r="F46" s="34"/>
      <c r="G46" s="34"/>
      <c r="H46" t="s">
        <v>715</v>
      </c>
      <c r="K46" s="34" t="s">
        <v>716</v>
      </c>
      <c r="L46" s="34"/>
      <c r="M46" s="34"/>
      <c r="N46" t="s">
        <v>717</v>
      </c>
      <c r="Q46" s="34" t="s">
        <v>718</v>
      </c>
      <c r="R46" s="34"/>
      <c r="S46" s="34"/>
    </row>
    <row r="47" spans="1:19" ht="15" x14ac:dyDescent="0.25">
      <c r="A47" s="210" t="s">
        <v>221</v>
      </c>
      <c r="B47" s="158" t="s">
        <v>48</v>
      </c>
      <c r="C47" s="158" t="s">
        <v>47</v>
      </c>
      <c r="D47" s="218" t="s">
        <v>709</v>
      </c>
      <c r="E47" s="219" t="s">
        <v>48</v>
      </c>
      <c r="F47" s="219" t="s">
        <v>47</v>
      </c>
      <c r="G47" s="219" t="s">
        <v>709</v>
      </c>
      <c r="H47" s="158" t="s">
        <v>48</v>
      </c>
      <c r="I47" s="158" t="s">
        <v>47</v>
      </c>
      <c r="J47" s="218" t="s">
        <v>709</v>
      </c>
      <c r="K47" s="219" t="s">
        <v>48</v>
      </c>
      <c r="L47" s="219" t="s">
        <v>47</v>
      </c>
      <c r="M47" s="219" t="s">
        <v>709</v>
      </c>
      <c r="N47" s="158" t="s">
        <v>48</v>
      </c>
      <c r="O47" s="158" t="s">
        <v>47</v>
      </c>
      <c r="P47" s="218" t="s">
        <v>709</v>
      </c>
      <c r="Q47" s="219" t="s">
        <v>48</v>
      </c>
      <c r="R47" s="219" t="s">
        <v>47</v>
      </c>
      <c r="S47" s="219" t="s">
        <v>709</v>
      </c>
    </row>
    <row r="48" spans="1:19" ht="15" x14ac:dyDescent="0.25">
      <c r="A48" s="210" t="s">
        <v>547</v>
      </c>
      <c r="B48" s="2">
        <f t="shared" ref="B48:D53" si="18">J37</f>
        <v>73</v>
      </c>
      <c r="C48" s="2">
        <f t="shared" si="18"/>
        <v>24</v>
      </c>
      <c r="D48" s="2">
        <f t="shared" si="18"/>
        <v>97</v>
      </c>
      <c r="E48" s="154">
        <f>B48*0.05</f>
        <v>3.6500000000000004</v>
      </c>
      <c r="F48" s="154">
        <f>C48*0.05</f>
        <v>1.2000000000000002</v>
      </c>
      <c r="G48" s="154">
        <f>E48+F48</f>
        <v>4.8500000000000005</v>
      </c>
      <c r="H48" s="156">
        <f>B48+E48</f>
        <v>76.650000000000006</v>
      </c>
      <c r="I48" s="156">
        <f>C48+F48</f>
        <v>25.2</v>
      </c>
      <c r="J48" s="156">
        <f>H48+I48</f>
        <v>101.85000000000001</v>
      </c>
      <c r="K48" s="154">
        <f>H48*0.05</f>
        <v>3.8325000000000005</v>
      </c>
      <c r="L48" s="154">
        <f>I48*0.05</f>
        <v>1.26</v>
      </c>
      <c r="M48" s="154">
        <f>K48+L48</f>
        <v>5.0925000000000002</v>
      </c>
      <c r="N48" s="156">
        <f>H48+K48</f>
        <v>80.482500000000002</v>
      </c>
      <c r="O48" s="156">
        <f>I48+L48</f>
        <v>26.46</v>
      </c>
      <c r="P48" s="156">
        <f>N48+O48</f>
        <v>106.9425</v>
      </c>
      <c r="Q48" s="154">
        <f>E48+K48</f>
        <v>7.4825000000000008</v>
      </c>
      <c r="R48" s="154">
        <f>F48+L48</f>
        <v>2.46</v>
      </c>
      <c r="S48" s="154">
        <f>G48+M48</f>
        <v>9.9425000000000008</v>
      </c>
    </row>
    <row r="49" spans="1:19" ht="15" x14ac:dyDescent="0.25">
      <c r="A49" s="210" t="s">
        <v>553</v>
      </c>
      <c r="B49" s="2">
        <f t="shared" si="18"/>
        <v>1091</v>
      </c>
      <c r="C49" s="2">
        <f t="shared" si="18"/>
        <v>1169</v>
      </c>
      <c r="D49" s="2">
        <f t="shared" si="18"/>
        <v>2260</v>
      </c>
      <c r="E49" s="154">
        <f>B49*0.05</f>
        <v>54.550000000000004</v>
      </c>
      <c r="F49" s="154">
        <f t="shared" ref="F49:F53" si="19">C49*0.05</f>
        <v>58.45</v>
      </c>
      <c r="G49" s="154">
        <f t="shared" ref="G49:G54" si="20">E49+F49</f>
        <v>113</v>
      </c>
      <c r="H49" s="156">
        <f>B49+E49</f>
        <v>1145.55</v>
      </c>
      <c r="I49" s="156">
        <f t="shared" ref="I49:I53" si="21">C49+F49</f>
        <v>1227.45</v>
      </c>
      <c r="J49" s="156">
        <f t="shared" ref="J49:J54" si="22">H49+I49</f>
        <v>2373</v>
      </c>
      <c r="K49" s="154">
        <f t="shared" ref="K49:L53" si="23">H49*0.05</f>
        <v>57.277500000000003</v>
      </c>
      <c r="L49" s="154">
        <f t="shared" si="23"/>
        <v>61.372500000000002</v>
      </c>
      <c r="M49" s="154">
        <f t="shared" ref="M49:M53" si="24">K49+L49</f>
        <v>118.65</v>
      </c>
      <c r="N49" s="156">
        <f t="shared" ref="N49:O53" si="25">H49+K49</f>
        <v>1202.8274999999999</v>
      </c>
      <c r="O49" s="156">
        <f t="shared" si="25"/>
        <v>1288.8225</v>
      </c>
      <c r="P49" s="156">
        <f t="shared" ref="P49:P54" si="26">N49+O49</f>
        <v>2491.6499999999996</v>
      </c>
      <c r="Q49" s="154">
        <f t="shared" ref="Q49:R53" si="27">E49+K49</f>
        <v>111.82750000000001</v>
      </c>
      <c r="R49" s="154">
        <f>F49+L49</f>
        <v>119.82250000000001</v>
      </c>
      <c r="S49" s="154">
        <f t="shared" ref="S49:S53" si="28">G49+M49</f>
        <v>231.65</v>
      </c>
    </row>
    <row r="50" spans="1:19" ht="15" x14ac:dyDescent="0.25">
      <c r="A50" s="210" t="s">
        <v>552</v>
      </c>
      <c r="B50" s="2">
        <f t="shared" si="18"/>
        <v>262</v>
      </c>
      <c r="C50" s="2">
        <f t="shared" si="18"/>
        <v>204</v>
      </c>
      <c r="D50" s="2">
        <f t="shared" si="18"/>
        <v>466</v>
      </c>
      <c r="E50" s="154">
        <f>B50*0.05</f>
        <v>13.100000000000001</v>
      </c>
      <c r="F50" s="154">
        <f t="shared" si="19"/>
        <v>10.200000000000001</v>
      </c>
      <c r="G50" s="154">
        <f t="shared" si="20"/>
        <v>23.300000000000004</v>
      </c>
      <c r="H50" s="156">
        <f t="shared" ref="H50:H52" si="29">B50+E50</f>
        <v>275.10000000000002</v>
      </c>
      <c r="I50" s="156">
        <f t="shared" si="21"/>
        <v>214.2</v>
      </c>
      <c r="J50" s="156">
        <f t="shared" si="22"/>
        <v>489.3</v>
      </c>
      <c r="K50" s="154">
        <f t="shared" si="23"/>
        <v>13.755000000000003</v>
      </c>
      <c r="L50" s="154">
        <f t="shared" si="23"/>
        <v>10.71</v>
      </c>
      <c r="M50" s="154">
        <f t="shared" si="24"/>
        <v>24.465000000000003</v>
      </c>
      <c r="N50" s="156">
        <f t="shared" si="25"/>
        <v>288.85500000000002</v>
      </c>
      <c r="O50" s="156">
        <f t="shared" si="25"/>
        <v>224.91</v>
      </c>
      <c r="P50" s="156">
        <f t="shared" si="26"/>
        <v>513.76499999999999</v>
      </c>
      <c r="Q50" s="154">
        <f t="shared" si="27"/>
        <v>26.855000000000004</v>
      </c>
      <c r="R50" s="154">
        <f t="shared" si="27"/>
        <v>20.910000000000004</v>
      </c>
      <c r="S50" s="154">
        <f t="shared" si="28"/>
        <v>47.765000000000008</v>
      </c>
    </row>
    <row r="51" spans="1:19" ht="15" x14ac:dyDescent="0.25">
      <c r="A51" s="210" t="s">
        <v>573</v>
      </c>
      <c r="B51" s="2">
        <f t="shared" si="18"/>
        <v>1151</v>
      </c>
      <c r="C51" s="2">
        <f t="shared" si="18"/>
        <v>756</v>
      </c>
      <c r="D51" s="2">
        <f t="shared" si="18"/>
        <v>1907</v>
      </c>
      <c r="E51" s="154">
        <f t="shared" ref="E51:E52" si="30">B51*0.05</f>
        <v>57.550000000000004</v>
      </c>
      <c r="F51" s="154">
        <f t="shared" si="19"/>
        <v>37.800000000000004</v>
      </c>
      <c r="G51" s="154">
        <f t="shared" si="20"/>
        <v>95.350000000000009</v>
      </c>
      <c r="H51" s="156">
        <f t="shared" si="29"/>
        <v>1208.55</v>
      </c>
      <c r="I51" s="156">
        <f t="shared" si="21"/>
        <v>793.8</v>
      </c>
      <c r="J51" s="156">
        <f t="shared" si="22"/>
        <v>2002.35</v>
      </c>
      <c r="K51" s="154">
        <f t="shared" si="23"/>
        <v>60.427500000000002</v>
      </c>
      <c r="L51" s="154">
        <f t="shared" si="23"/>
        <v>39.69</v>
      </c>
      <c r="M51" s="154">
        <f t="shared" si="24"/>
        <v>100.11750000000001</v>
      </c>
      <c r="N51" s="156">
        <f t="shared" si="25"/>
        <v>1268.9775</v>
      </c>
      <c r="O51" s="156">
        <f t="shared" si="25"/>
        <v>833.49</v>
      </c>
      <c r="P51" s="156">
        <f t="shared" si="26"/>
        <v>2102.4674999999997</v>
      </c>
      <c r="Q51" s="154">
        <f t="shared" si="27"/>
        <v>117.97750000000001</v>
      </c>
      <c r="R51" s="154">
        <f t="shared" si="27"/>
        <v>77.490000000000009</v>
      </c>
      <c r="S51" s="154">
        <f t="shared" si="28"/>
        <v>195.46750000000003</v>
      </c>
    </row>
    <row r="52" spans="1:19" ht="15" x14ac:dyDescent="0.25">
      <c r="A52" s="210" t="s">
        <v>548</v>
      </c>
      <c r="B52" s="2">
        <f t="shared" si="18"/>
        <v>300</v>
      </c>
      <c r="C52" s="2">
        <f t="shared" si="18"/>
        <v>132</v>
      </c>
      <c r="D52" s="2">
        <f t="shared" si="18"/>
        <v>432</v>
      </c>
      <c r="E52" s="154">
        <f t="shared" si="30"/>
        <v>15</v>
      </c>
      <c r="F52" s="154">
        <f t="shared" si="19"/>
        <v>6.6000000000000005</v>
      </c>
      <c r="G52" s="154">
        <f t="shared" si="20"/>
        <v>21.6</v>
      </c>
      <c r="H52" s="156">
        <f t="shared" si="29"/>
        <v>315</v>
      </c>
      <c r="I52" s="156">
        <f t="shared" si="21"/>
        <v>138.6</v>
      </c>
      <c r="J52" s="156">
        <f t="shared" si="22"/>
        <v>453.6</v>
      </c>
      <c r="K52" s="154">
        <f t="shared" si="23"/>
        <v>15.75</v>
      </c>
      <c r="L52" s="154">
        <f t="shared" si="23"/>
        <v>6.93</v>
      </c>
      <c r="M52" s="154">
        <f t="shared" si="24"/>
        <v>22.68</v>
      </c>
      <c r="N52" s="156">
        <f t="shared" si="25"/>
        <v>330.75</v>
      </c>
      <c r="O52" s="156">
        <f t="shared" si="25"/>
        <v>145.53</v>
      </c>
      <c r="P52" s="156">
        <f t="shared" si="26"/>
        <v>476.28</v>
      </c>
      <c r="Q52" s="154">
        <f t="shared" si="27"/>
        <v>30.75</v>
      </c>
      <c r="R52" s="154">
        <f t="shared" si="27"/>
        <v>13.530000000000001</v>
      </c>
      <c r="S52" s="154">
        <f t="shared" si="28"/>
        <v>44.28</v>
      </c>
    </row>
    <row r="53" spans="1:19" ht="15" x14ac:dyDescent="0.25">
      <c r="A53" s="210" t="s">
        <v>549</v>
      </c>
      <c r="B53" s="2">
        <f t="shared" si="18"/>
        <v>389</v>
      </c>
      <c r="C53" s="2">
        <f t="shared" si="18"/>
        <v>355</v>
      </c>
      <c r="D53" s="2">
        <f t="shared" si="18"/>
        <v>744</v>
      </c>
      <c r="E53" s="154">
        <f>B53*0.05</f>
        <v>19.450000000000003</v>
      </c>
      <c r="F53" s="154">
        <f t="shared" si="19"/>
        <v>17.75</v>
      </c>
      <c r="G53" s="154">
        <f t="shared" si="20"/>
        <v>37.200000000000003</v>
      </c>
      <c r="H53" s="156">
        <f>B53+E53</f>
        <v>408.45</v>
      </c>
      <c r="I53" s="156">
        <f t="shared" si="21"/>
        <v>372.75</v>
      </c>
      <c r="J53" s="156">
        <f t="shared" si="22"/>
        <v>781.2</v>
      </c>
      <c r="K53" s="154">
        <f t="shared" si="23"/>
        <v>20.422499999999999</v>
      </c>
      <c r="L53" s="154">
        <f t="shared" si="23"/>
        <v>18.637499999999999</v>
      </c>
      <c r="M53" s="154">
        <f t="shared" si="24"/>
        <v>39.06</v>
      </c>
      <c r="N53" s="156">
        <f>H53+K53</f>
        <v>428.8725</v>
      </c>
      <c r="O53" s="156">
        <f t="shared" si="25"/>
        <v>391.38749999999999</v>
      </c>
      <c r="P53" s="156">
        <f t="shared" si="26"/>
        <v>820.26</v>
      </c>
      <c r="Q53" s="154">
        <f t="shared" si="27"/>
        <v>39.872500000000002</v>
      </c>
      <c r="R53" s="154">
        <f t="shared" si="27"/>
        <v>36.387500000000003</v>
      </c>
      <c r="S53" s="154">
        <f t="shared" si="28"/>
        <v>76.260000000000005</v>
      </c>
    </row>
    <row r="54" spans="1:19" ht="15" x14ac:dyDescent="0.25">
      <c r="A54" s="220" t="s">
        <v>719</v>
      </c>
      <c r="B54" s="329">
        <f>SUM(B48:B53)</f>
        <v>3266</v>
      </c>
      <c r="C54" s="329">
        <f t="shared" ref="C54:D54" si="31">SUM(C48:C53)</f>
        <v>2640</v>
      </c>
      <c r="D54" s="329">
        <f t="shared" si="31"/>
        <v>5906</v>
      </c>
      <c r="E54" s="221">
        <f>SUM(E48:E53)</f>
        <v>163.30000000000001</v>
      </c>
      <c r="F54" s="221">
        <f>SUM(F48:F53)</f>
        <v>132</v>
      </c>
      <c r="G54" s="222">
        <f t="shared" si="20"/>
        <v>295.3</v>
      </c>
      <c r="H54" s="223">
        <f>SUM(H48:H53)</f>
        <v>3429.3</v>
      </c>
      <c r="I54" s="223">
        <f>SUM(I48:I53)</f>
        <v>2772</v>
      </c>
      <c r="J54" s="224">
        <f t="shared" si="22"/>
        <v>6201.3</v>
      </c>
      <c r="K54" s="222">
        <f>SUM(K48:K53)</f>
        <v>171.46500000000003</v>
      </c>
      <c r="L54" s="222">
        <f>SUM(L48:L53)</f>
        <v>138.6</v>
      </c>
      <c r="M54" s="222">
        <f>K54+L54</f>
        <v>310.06500000000005</v>
      </c>
      <c r="N54" s="224">
        <f>SUM(N48:N53)</f>
        <v>3600.7649999999999</v>
      </c>
      <c r="O54" s="224">
        <f>SUM(O48:O53)</f>
        <v>2910.6</v>
      </c>
      <c r="P54" s="224">
        <f t="shared" si="26"/>
        <v>6511.3649999999998</v>
      </c>
      <c r="Q54" s="154">
        <f>SUM(Q48:Q53)</f>
        <v>334.76500000000004</v>
      </c>
      <c r="R54" s="154">
        <f>SUM(R48:R53)</f>
        <v>270.60000000000002</v>
      </c>
      <c r="S54" s="154">
        <f>SUM(S48:S53)</f>
        <v>605.36500000000001</v>
      </c>
    </row>
  </sheetData>
  <mergeCells count="6">
    <mergeCell ref="J35:L35"/>
    <mergeCell ref="B46:D46"/>
    <mergeCell ref="B35:C35"/>
    <mergeCell ref="D35:E35"/>
    <mergeCell ref="F35:G35"/>
    <mergeCell ref="H35:I35"/>
  </mergeCells>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opLeftCell="A34" workbookViewId="0">
      <selection activeCell="H14" sqref="H14"/>
    </sheetView>
  </sheetViews>
  <sheetFormatPr defaultColWidth="8.85546875" defaultRowHeight="12.75" x14ac:dyDescent="0.2"/>
  <cols>
    <col min="1" max="1" width="10.42578125" customWidth="1"/>
    <col min="2" max="2" width="24.7109375" bestFit="1" customWidth="1"/>
    <col min="3" max="3" width="12.28515625" bestFit="1" customWidth="1"/>
    <col min="4" max="4" width="14" bestFit="1" customWidth="1"/>
    <col min="5" max="6" width="12.28515625" bestFit="1" customWidth="1"/>
    <col min="7" max="7" width="12.7109375" bestFit="1" customWidth="1"/>
    <col min="8" max="8" width="10.28515625" bestFit="1" customWidth="1"/>
    <col min="15" max="15" width="11.42578125" customWidth="1"/>
  </cols>
  <sheetData>
    <row r="1" spans="1:10" ht="15" x14ac:dyDescent="0.25">
      <c r="A1" s="146" t="s">
        <v>1225</v>
      </c>
      <c r="B1" s="146"/>
      <c r="C1" s="146"/>
      <c r="D1" s="146"/>
      <c r="E1" s="146"/>
      <c r="F1" s="146"/>
      <c r="G1" s="146"/>
      <c r="H1" s="146"/>
      <c r="I1" s="146"/>
      <c r="J1" s="146"/>
    </row>
    <row r="3" spans="1:10" s="322" customFormat="1" ht="18" x14ac:dyDescent="0.25">
      <c r="A3" s="1003" t="s">
        <v>987</v>
      </c>
    </row>
    <row r="4" spans="1:10" x14ac:dyDescent="0.2">
      <c r="B4" s="322" t="s">
        <v>49</v>
      </c>
      <c r="C4" s="322" t="s">
        <v>48</v>
      </c>
      <c r="D4" s="322" t="s">
        <v>47</v>
      </c>
    </row>
    <row r="5" spans="1:10" x14ac:dyDescent="0.2">
      <c r="A5" s="322">
        <v>2012</v>
      </c>
      <c r="B5">
        <v>670140</v>
      </c>
      <c r="C5">
        <v>355174</v>
      </c>
      <c r="D5">
        <v>314966</v>
      </c>
    </row>
    <row r="7" spans="1:10" ht="13.5" thickBot="1" x14ac:dyDescent="0.25">
      <c r="A7" s="322">
        <v>2014</v>
      </c>
    </row>
    <row r="8" spans="1:10" ht="13.5" thickBot="1" x14ac:dyDescent="0.25">
      <c r="A8" s="996"/>
      <c r="B8" s="996" t="s">
        <v>18</v>
      </c>
      <c r="C8" s="891" t="s">
        <v>17</v>
      </c>
      <c r="D8" s="894" t="s">
        <v>16</v>
      </c>
      <c r="E8" s="891" t="s">
        <v>15</v>
      </c>
      <c r="F8" s="891" t="s">
        <v>14</v>
      </c>
      <c r="G8" s="891" t="s">
        <v>13</v>
      </c>
      <c r="H8" s="892" t="s">
        <v>49</v>
      </c>
    </row>
    <row r="9" spans="1:10" x14ac:dyDescent="0.2">
      <c r="A9" s="997" t="s">
        <v>69</v>
      </c>
      <c r="B9" s="997">
        <v>103717</v>
      </c>
      <c r="C9" s="998">
        <v>211714</v>
      </c>
      <c r="D9" s="998">
        <v>192191</v>
      </c>
      <c r="E9" s="998">
        <v>1485096</v>
      </c>
      <c r="F9" s="998">
        <v>208887</v>
      </c>
      <c r="G9" s="998">
        <v>230165</v>
      </c>
      <c r="H9" s="999">
        <f>SUM(B9:G9)</f>
        <v>2431770</v>
      </c>
    </row>
    <row r="10" spans="1:10" x14ac:dyDescent="0.2">
      <c r="A10" s="997" t="s">
        <v>70</v>
      </c>
      <c r="B10" s="997">
        <v>92892</v>
      </c>
      <c r="C10" s="998">
        <v>162213</v>
      </c>
      <c r="D10" s="998">
        <v>168631</v>
      </c>
      <c r="E10" s="998">
        <v>1431061</v>
      </c>
      <c r="F10" s="998">
        <v>19620</v>
      </c>
      <c r="G10" s="998">
        <v>237401</v>
      </c>
      <c r="H10" s="999">
        <f t="shared" ref="H10:H11" si="0">SUM(B10:G10)</f>
        <v>2111818</v>
      </c>
    </row>
    <row r="11" spans="1:10" ht="13.5" thickBot="1" x14ac:dyDescent="0.25">
      <c r="A11" s="1000" t="s">
        <v>68</v>
      </c>
      <c r="B11" s="1000">
        <v>196609</v>
      </c>
      <c r="C11" s="1001">
        <v>373928</v>
      </c>
      <c r="D11" s="1001">
        <v>360821</v>
      </c>
      <c r="E11" s="1001">
        <v>2916157</v>
      </c>
      <c r="F11" s="1001">
        <v>405095</v>
      </c>
      <c r="G11" s="1001">
        <v>467566</v>
      </c>
      <c r="H11" s="1002">
        <f t="shared" si="0"/>
        <v>4720176</v>
      </c>
    </row>
    <row r="13" spans="1:10" x14ac:dyDescent="0.2">
      <c r="A13" s="322">
        <v>2015</v>
      </c>
    </row>
    <row r="14" spans="1:10" ht="13.5" thickBot="1" x14ac:dyDescent="0.25">
      <c r="A14" s="322" t="s">
        <v>1300</v>
      </c>
      <c r="B14" s="1348">
        <v>1224</v>
      </c>
      <c r="C14" s="1348">
        <v>2011</v>
      </c>
      <c r="D14" s="1348">
        <v>4226</v>
      </c>
      <c r="E14" s="1348">
        <v>5842</v>
      </c>
      <c r="F14" s="1348">
        <v>1528</v>
      </c>
      <c r="G14" s="1348">
        <v>999</v>
      </c>
      <c r="H14" s="1045">
        <f>SUM(B14:G14)</f>
        <v>15830</v>
      </c>
      <c r="I14" t="s">
        <v>1301</v>
      </c>
    </row>
    <row r="15" spans="1:10" ht="13.5" thickBot="1" x14ac:dyDescent="0.25">
      <c r="A15" s="996"/>
      <c r="B15" s="996" t="s">
        <v>18</v>
      </c>
      <c r="C15" s="891" t="s">
        <v>17</v>
      </c>
      <c r="D15" s="894" t="s">
        <v>16</v>
      </c>
      <c r="E15" s="891" t="s">
        <v>15</v>
      </c>
      <c r="F15" s="891" t="s">
        <v>14</v>
      </c>
      <c r="G15" s="891" t="s">
        <v>13</v>
      </c>
      <c r="H15" s="892" t="s">
        <v>49</v>
      </c>
    </row>
    <row r="16" spans="1:10" x14ac:dyDescent="0.2">
      <c r="A16" s="997" t="s">
        <v>69</v>
      </c>
      <c r="B16" s="997">
        <f>(B14*F41)*0.51</f>
        <v>131090.4</v>
      </c>
      <c r="C16" s="998">
        <f>(C14*F42)*0.55</f>
        <v>305269.80000000005</v>
      </c>
      <c r="D16" s="998">
        <f>(D14*F43)*0.53</f>
        <v>606980.38</v>
      </c>
      <c r="E16" s="998">
        <f>(E14*F44)*0.51</f>
        <v>1287109.44</v>
      </c>
      <c r="F16" s="998">
        <f>(F14*F45)*0.51</f>
        <v>126243.36</v>
      </c>
      <c r="G16" s="998">
        <f>G14*F46*0.49</f>
        <v>227132.63999999998</v>
      </c>
      <c r="H16" s="999">
        <f>SUM(B16:G16)</f>
        <v>2683826.02</v>
      </c>
    </row>
    <row r="17" spans="1:12" x14ac:dyDescent="0.2">
      <c r="A17" s="997" t="s">
        <v>70</v>
      </c>
      <c r="B17" s="997">
        <f>(B14*F41)*0.49</f>
        <v>125949.59999999999</v>
      </c>
      <c r="C17" s="998">
        <f>(C14*F42)*0.45</f>
        <v>249766.2</v>
      </c>
      <c r="D17" s="998">
        <f>(D14*F43)*0.47</f>
        <v>538265.62</v>
      </c>
      <c r="E17" s="998">
        <f>(E14*F44)*0.49</f>
        <v>1236634.56</v>
      </c>
      <c r="F17" s="998">
        <f>(F14*F45)*0.49</f>
        <v>121292.64</v>
      </c>
      <c r="G17" s="998">
        <f>G14*F46*0.51</f>
        <v>236403.36000000002</v>
      </c>
      <c r="H17" s="999">
        <f t="shared" ref="H17:H18" si="1">SUM(B17:G17)</f>
        <v>2508311.98</v>
      </c>
    </row>
    <row r="18" spans="1:12" ht="13.5" thickBot="1" x14ac:dyDescent="0.25">
      <c r="A18" s="1000" t="s">
        <v>68</v>
      </c>
      <c r="B18" s="1000">
        <f>SUM(B16:B17)</f>
        <v>257040</v>
      </c>
      <c r="C18" s="1001">
        <f>SUM(C16:C17)</f>
        <v>555036</v>
      </c>
      <c r="D18" s="1001">
        <f t="shared" ref="D18:G18" si="2">SUM(D16:D17)</f>
        <v>1145246</v>
      </c>
      <c r="E18" s="1001">
        <f t="shared" si="2"/>
        <v>2523744</v>
      </c>
      <c r="F18" s="1001">
        <f t="shared" si="2"/>
        <v>247536</v>
      </c>
      <c r="G18" s="1001">
        <f t="shared" si="2"/>
        <v>463536</v>
      </c>
      <c r="H18" s="1002">
        <f t="shared" si="1"/>
        <v>5192138</v>
      </c>
    </row>
    <row r="21" spans="1:12" ht="18" x14ac:dyDescent="0.25">
      <c r="A21" s="1003" t="s">
        <v>988</v>
      </c>
    </row>
    <row r="24" spans="1:12" x14ac:dyDescent="0.2">
      <c r="A24" s="2"/>
      <c r="B24" s="294"/>
      <c r="C24" s="2526" t="s">
        <v>68</v>
      </c>
      <c r="D24" s="2527"/>
      <c r="E24" s="2528"/>
      <c r="F24" s="2529" t="s">
        <v>26</v>
      </c>
      <c r="G24" s="2529"/>
      <c r="H24" s="2527"/>
      <c r="I24" s="2530"/>
      <c r="J24" s="2526" t="s">
        <v>25</v>
      </c>
      <c r="K24" s="2527"/>
      <c r="L24" s="2528"/>
    </row>
    <row r="25" spans="1:12" ht="15" x14ac:dyDescent="0.25">
      <c r="A25" s="2"/>
      <c r="B25" s="294"/>
      <c r="C25" s="295">
        <v>2014</v>
      </c>
      <c r="D25" s="226">
        <v>2015</v>
      </c>
      <c r="E25" s="296">
        <v>2016</v>
      </c>
      <c r="F25" s="297">
        <v>2014</v>
      </c>
      <c r="G25" s="297"/>
      <c r="H25" s="226">
        <v>2015</v>
      </c>
      <c r="I25" s="298">
        <v>2016</v>
      </c>
      <c r="J25" s="295">
        <v>2014</v>
      </c>
      <c r="K25" s="226">
        <v>2015</v>
      </c>
      <c r="L25" s="296">
        <v>2016</v>
      </c>
    </row>
    <row r="26" spans="1:12" ht="15" x14ac:dyDescent="0.25">
      <c r="A26" s="2"/>
      <c r="B26" s="298" t="s">
        <v>757</v>
      </c>
      <c r="C26" s="299">
        <v>10117</v>
      </c>
      <c r="D26" s="300">
        <v>11308</v>
      </c>
      <c r="E26" s="301">
        <v>11308</v>
      </c>
      <c r="F26" s="302">
        <v>10032</v>
      </c>
      <c r="G26" s="302"/>
      <c r="H26" s="303">
        <v>11223</v>
      </c>
      <c r="I26" s="304">
        <v>11223</v>
      </c>
      <c r="J26" s="126">
        <v>85</v>
      </c>
      <c r="K26" s="2">
        <v>85</v>
      </c>
      <c r="L26" s="305">
        <v>85</v>
      </c>
    </row>
    <row r="27" spans="1:12" ht="15" x14ac:dyDescent="0.25">
      <c r="A27" s="226" t="s">
        <v>758</v>
      </c>
      <c r="B27" s="298" t="s">
        <v>759</v>
      </c>
      <c r="C27" s="306">
        <v>2933930</v>
      </c>
      <c r="D27" s="303">
        <v>3279320</v>
      </c>
      <c r="E27" s="307">
        <v>3279320</v>
      </c>
      <c r="F27" s="302">
        <f>C27-J27</f>
        <v>2909280</v>
      </c>
      <c r="G27" s="302"/>
      <c r="H27" s="303">
        <f>D27-K27</f>
        <v>3254670</v>
      </c>
      <c r="I27" s="304">
        <f>E27-L27</f>
        <v>3254670</v>
      </c>
      <c r="J27" s="306">
        <v>24650</v>
      </c>
      <c r="K27" s="303">
        <v>24650</v>
      </c>
      <c r="L27" s="307">
        <v>24650</v>
      </c>
    </row>
    <row r="28" spans="1:12" ht="15" x14ac:dyDescent="0.25">
      <c r="A28" s="2"/>
      <c r="B28" s="298" t="s">
        <v>760</v>
      </c>
      <c r="C28" s="306">
        <v>32285</v>
      </c>
      <c r="D28" s="303">
        <v>42685</v>
      </c>
      <c r="E28" s="307">
        <v>53085</v>
      </c>
      <c r="F28" s="302">
        <v>32285</v>
      </c>
      <c r="G28" s="302"/>
      <c r="H28" s="303">
        <v>42685</v>
      </c>
      <c r="I28" s="304">
        <v>53085</v>
      </c>
      <c r="J28" s="126">
        <v>0</v>
      </c>
      <c r="K28" s="2">
        <v>0</v>
      </c>
      <c r="L28" s="305">
        <v>0</v>
      </c>
    </row>
    <row r="29" spans="1:12" ht="15" x14ac:dyDescent="0.25">
      <c r="A29" s="2"/>
      <c r="B29" s="294" t="s">
        <v>761</v>
      </c>
      <c r="C29" s="308">
        <f t="shared" ref="C29:I29" si="3">SUM(C27:C28)</f>
        <v>2966215</v>
      </c>
      <c r="D29" s="309">
        <f t="shared" si="3"/>
        <v>3322005</v>
      </c>
      <c r="E29" s="310">
        <f t="shared" si="3"/>
        <v>3332405</v>
      </c>
      <c r="F29" s="311">
        <f t="shared" si="3"/>
        <v>2941565</v>
      </c>
      <c r="G29" s="311"/>
      <c r="H29" s="309">
        <f t="shared" si="3"/>
        <v>3297355</v>
      </c>
      <c r="I29" s="312">
        <f t="shared" si="3"/>
        <v>3307755</v>
      </c>
      <c r="J29" s="308">
        <v>24650</v>
      </c>
      <c r="K29" s="309">
        <v>24650</v>
      </c>
      <c r="L29" s="310">
        <v>24650</v>
      </c>
    </row>
    <row r="30" spans="1:12" x14ac:dyDescent="0.2">
      <c r="A30" s="2" t="s">
        <v>762</v>
      </c>
      <c r="B30" s="313" t="s">
        <v>763</v>
      </c>
      <c r="C30" s="306">
        <v>1394121</v>
      </c>
      <c r="D30" s="303">
        <v>1561342</v>
      </c>
      <c r="E30" s="307">
        <v>1566230</v>
      </c>
      <c r="F30" s="302">
        <f>C30-J30</f>
        <v>1382535</v>
      </c>
      <c r="G30" s="302"/>
      <c r="H30" s="303">
        <f>D30-K30</f>
        <v>1549756</v>
      </c>
      <c r="I30" s="304">
        <f>E30-L30</f>
        <v>1554644</v>
      </c>
      <c r="J30" s="306">
        <v>11586</v>
      </c>
      <c r="K30" s="303">
        <v>11586</v>
      </c>
      <c r="L30" s="307">
        <v>11586</v>
      </c>
    </row>
    <row r="31" spans="1:12" x14ac:dyDescent="0.2">
      <c r="A31" s="2"/>
      <c r="B31" s="313" t="s">
        <v>764</v>
      </c>
      <c r="C31" s="306">
        <v>1572094</v>
      </c>
      <c r="D31" s="303">
        <v>1760663</v>
      </c>
      <c r="E31" s="307">
        <v>1766175</v>
      </c>
      <c r="F31" s="302">
        <f>C31-J31</f>
        <v>1559029</v>
      </c>
      <c r="G31" s="302"/>
      <c r="H31" s="303">
        <f>D31-K31</f>
        <v>1747598</v>
      </c>
      <c r="I31" s="304">
        <f>E31-L31</f>
        <v>1753110</v>
      </c>
      <c r="J31" s="306">
        <v>13065</v>
      </c>
      <c r="K31" s="303">
        <v>13065</v>
      </c>
      <c r="L31" s="307">
        <v>13065</v>
      </c>
    </row>
    <row r="33" spans="1:21" x14ac:dyDescent="0.2">
      <c r="A33" s="2531" t="s">
        <v>765</v>
      </c>
      <c r="B33" s="2531"/>
    </row>
    <row r="34" spans="1:21" x14ac:dyDescent="0.2">
      <c r="A34" s="2531"/>
      <c r="B34" s="2531"/>
    </row>
    <row r="35" spans="1:21" x14ac:dyDescent="0.2">
      <c r="A35" s="2531"/>
      <c r="B35" s="2531"/>
    </row>
    <row r="36" spans="1:21" x14ac:dyDescent="0.2">
      <c r="A36" s="2531"/>
      <c r="B36" s="2531"/>
    </row>
    <row r="37" spans="1:21" x14ac:dyDescent="0.2">
      <c r="A37" s="2531"/>
      <c r="B37" s="2531"/>
    </row>
    <row r="38" spans="1:21" ht="13.5" thickBot="1" x14ac:dyDescent="0.25">
      <c r="A38" s="784"/>
      <c r="B38" s="784"/>
    </row>
    <row r="39" spans="1:21" ht="15.75" thickBot="1" x14ac:dyDescent="0.3">
      <c r="C39" s="2532" t="s">
        <v>989</v>
      </c>
      <c r="D39" s="2533"/>
      <c r="E39" s="2533"/>
      <c r="F39" s="2533"/>
      <c r="G39" s="2533"/>
      <c r="H39" s="2533"/>
      <c r="I39" s="2534"/>
      <c r="J39" s="1023"/>
      <c r="K39" s="1076"/>
      <c r="L39" s="2535" t="s">
        <v>766</v>
      </c>
      <c r="M39" s="2536"/>
      <c r="N39" s="2536"/>
      <c r="O39" s="2536"/>
      <c r="P39" s="2536"/>
      <c r="Q39" s="2536"/>
      <c r="R39" s="2536"/>
      <c r="S39" s="2536"/>
    </row>
    <row r="40" spans="1:21" ht="79.5" thickBot="1" x14ac:dyDescent="0.3">
      <c r="A40" s="1047"/>
      <c r="B40" s="8"/>
      <c r="C40" s="1026"/>
      <c r="D40" s="1027" t="s">
        <v>566</v>
      </c>
      <c r="E40" s="1028" t="s">
        <v>990</v>
      </c>
      <c r="F40" s="1028" t="s">
        <v>1034</v>
      </c>
      <c r="G40" s="1029" t="s">
        <v>767</v>
      </c>
      <c r="H40" s="1029" t="s">
        <v>768</v>
      </c>
      <c r="I40" s="1030" t="s">
        <v>763</v>
      </c>
      <c r="J40" s="1031" t="s">
        <v>764</v>
      </c>
      <c r="K40" s="1024"/>
      <c r="L40" s="1026"/>
      <c r="M40" s="1027" t="s">
        <v>566</v>
      </c>
      <c r="N40" s="1028" t="s">
        <v>991</v>
      </c>
      <c r="O40" s="1028" t="s">
        <v>1034</v>
      </c>
      <c r="P40" s="1029" t="s">
        <v>767</v>
      </c>
      <c r="Q40" s="1029" t="s">
        <v>1035</v>
      </c>
      <c r="R40" s="1029" t="s">
        <v>1036</v>
      </c>
      <c r="S40" s="1029" t="s">
        <v>768</v>
      </c>
      <c r="T40" s="1030" t="s">
        <v>763</v>
      </c>
      <c r="U40" s="1031" t="s">
        <v>764</v>
      </c>
    </row>
    <row r="41" spans="1:21" ht="16.5" thickBot="1" x14ac:dyDescent="0.25">
      <c r="A41" s="1037"/>
      <c r="B41" s="1045"/>
      <c r="C41" s="1032" t="s">
        <v>547</v>
      </c>
      <c r="D41" s="1033">
        <v>1223</v>
      </c>
      <c r="E41" s="1034">
        <v>1223</v>
      </c>
      <c r="F41" s="1075">
        <v>210</v>
      </c>
      <c r="G41" s="531">
        <f>E41*F41</f>
        <v>256830</v>
      </c>
      <c r="H41" s="531">
        <v>49</v>
      </c>
      <c r="I41" s="1035">
        <f>G41*0.49</f>
        <v>125846.7</v>
      </c>
      <c r="J41" s="1036">
        <f>G41-I41</f>
        <v>130983.3</v>
      </c>
      <c r="K41" s="1024"/>
      <c r="L41" s="1032" t="s">
        <v>547</v>
      </c>
      <c r="M41" s="1033">
        <v>1223</v>
      </c>
      <c r="N41" s="1034">
        <v>1223</v>
      </c>
      <c r="O41" s="1075">
        <v>210</v>
      </c>
      <c r="P41" s="531">
        <f>N41*O41</f>
        <v>256830</v>
      </c>
      <c r="Q41" s="531">
        <f>(P41*3%)</f>
        <v>7704.9</v>
      </c>
      <c r="R41" s="531">
        <f>P41+Q41</f>
        <v>264534.90000000002</v>
      </c>
      <c r="S41" s="531">
        <v>49</v>
      </c>
      <c r="T41" s="1035">
        <f>R41*0.49</f>
        <v>129622.10100000001</v>
      </c>
      <c r="U41" s="1036">
        <f>R41-T41</f>
        <v>134912.799</v>
      </c>
    </row>
    <row r="42" spans="1:21" ht="16.5" thickBot="1" x14ac:dyDescent="0.25">
      <c r="A42" s="1037"/>
      <c r="B42" s="1045"/>
      <c r="C42" s="1019" t="s">
        <v>548</v>
      </c>
      <c r="D42" s="1020">
        <v>1997</v>
      </c>
      <c r="E42" s="1021">
        <v>1955</v>
      </c>
      <c r="F42" s="1005">
        <v>276</v>
      </c>
      <c r="G42" s="531">
        <f t="shared" ref="G42:G46" si="4">E42*F42</f>
        <v>539580</v>
      </c>
      <c r="H42" s="2">
        <v>45</v>
      </c>
      <c r="I42" s="2">
        <f>G42*0.45</f>
        <v>242811</v>
      </c>
      <c r="J42" s="1022">
        <f t="shared" ref="J42:J46" si="5">G42-I42</f>
        <v>296769</v>
      </c>
      <c r="K42" s="1024"/>
      <c r="L42" s="1019" t="s">
        <v>548</v>
      </c>
      <c r="M42" s="1020">
        <v>1997</v>
      </c>
      <c r="N42" s="1021">
        <v>2017</v>
      </c>
      <c r="O42" s="1005">
        <v>276</v>
      </c>
      <c r="P42" s="531">
        <f t="shared" ref="P42:P46" si="6">N42*O42</f>
        <v>556692</v>
      </c>
      <c r="Q42" s="531">
        <f>(P42*3%)+7600</f>
        <v>24300.76</v>
      </c>
      <c r="R42" s="531">
        <f t="shared" ref="R42:R46" si="7">P42+Q42</f>
        <v>580992.76</v>
      </c>
      <c r="S42" s="2">
        <v>45</v>
      </c>
      <c r="T42" s="1035">
        <f t="shared" ref="T42:T46" si="8">R42*0.49</f>
        <v>284686.45240000001</v>
      </c>
      <c r="U42" s="1036">
        <f t="shared" ref="U42:U46" si="9">R42-T42</f>
        <v>296306.3076</v>
      </c>
    </row>
    <row r="43" spans="1:21" ht="16.5" thickBot="1" x14ac:dyDescent="0.25">
      <c r="A43" s="1037"/>
      <c r="B43" s="1045"/>
      <c r="C43" s="1019" t="s">
        <v>549</v>
      </c>
      <c r="D43" s="1020">
        <v>4225</v>
      </c>
      <c r="E43" s="1021">
        <v>4225</v>
      </c>
      <c r="F43" s="1005">
        <v>271</v>
      </c>
      <c r="G43" s="531">
        <f t="shared" si="4"/>
        <v>1144975</v>
      </c>
      <c r="H43" s="2">
        <v>47</v>
      </c>
      <c r="I43" s="156">
        <f>G43*0.47</f>
        <v>538138.25</v>
      </c>
      <c r="J43" s="1022">
        <f t="shared" si="5"/>
        <v>606836.75</v>
      </c>
      <c r="K43" s="1024"/>
      <c r="L43" s="1019" t="s">
        <v>549</v>
      </c>
      <c r="M43" s="1020">
        <v>4225</v>
      </c>
      <c r="N43" s="1021">
        <v>4225</v>
      </c>
      <c r="O43" s="1005">
        <v>271</v>
      </c>
      <c r="P43" s="531">
        <f t="shared" si="6"/>
        <v>1144975</v>
      </c>
      <c r="Q43" s="531">
        <f>(P43*3%)+45000</f>
        <v>79349.25</v>
      </c>
      <c r="R43" s="531">
        <f t="shared" si="7"/>
        <v>1224324.25</v>
      </c>
      <c r="S43" s="2">
        <v>47</v>
      </c>
      <c r="T43" s="1035">
        <f t="shared" si="8"/>
        <v>599918.88249999995</v>
      </c>
      <c r="U43" s="1036">
        <f t="shared" si="9"/>
        <v>624405.36750000005</v>
      </c>
    </row>
    <row r="44" spans="1:21" ht="16.5" thickBot="1" x14ac:dyDescent="0.25">
      <c r="A44" s="1037"/>
      <c r="B44" s="1045"/>
      <c r="C44" s="1019" t="s">
        <v>573</v>
      </c>
      <c r="D44" s="1020">
        <v>5732</v>
      </c>
      <c r="E44" s="1021">
        <v>5732</v>
      </c>
      <c r="F44" s="1005">
        <v>432</v>
      </c>
      <c r="G44" s="531">
        <f t="shared" si="4"/>
        <v>2476224</v>
      </c>
      <c r="H44" s="2">
        <v>49</v>
      </c>
      <c r="I44" s="156">
        <f>G44*0.49</f>
        <v>1213349.76</v>
      </c>
      <c r="J44" s="1022">
        <f t="shared" si="5"/>
        <v>1262874.24</v>
      </c>
      <c r="K44" s="1024"/>
      <c r="L44" s="1019" t="s">
        <v>573</v>
      </c>
      <c r="M44" s="1020">
        <v>5732</v>
      </c>
      <c r="N44" s="1021">
        <v>5732</v>
      </c>
      <c r="O44" s="1005">
        <v>432</v>
      </c>
      <c r="P44" s="531">
        <f t="shared" si="6"/>
        <v>2476224</v>
      </c>
      <c r="Q44" s="531">
        <f>(P44*3%)+250000</f>
        <v>324286.71999999997</v>
      </c>
      <c r="R44" s="531">
        <f t="shared" si="7"/>
        <v>2800510.7199999997</v>
      </c>
      <c r="S44" s="2">
        <v>49</v>
      </c>
      <c r="T44" s="1035">
        <f t="shared" si="8"/>
        <v>1372250.2527999999</v>
      </c>
      <c r="U44" s="1036">
        <f t="shared" si="9"/>
        <v>1428260.4671999998</v>
      </c>
    </row>
    <row r="45" spans="1:21" ht="16.5" thickBot="1" x14ac:dyDescent="0.25">
      <c r="A45" s="1037"/>
      <c r="B45" s="1045"/>
      <c r="C45" s="1019" t="s">
        <v>552</v>
      </c>
      <c r="D45" s="1020">
        <v>1497</v>
      </c>
      <c r="E45" s="1021">
        <v>1497</v>
      </c>
      <c r="F45" s="1005">
        <v>162</v>
      </c>
      <c r="G45" s="531">
        <f t="shared" si="4"/>
        <v>242514</v>
      </c>
      <c r="H45" s="2">
        <v>49</v>
      </c>
      <c r="I45" s="156">
        <f>G45*0.49</f>
        <v>118831.86</v>
      </c>
      <c r="J45" s="1022">
        <f t="shared" si="5"/>
        <v>123682.14</v>
      </c>
      <c r="K45" s="1024"/>
      <c r="L45" s="1019" t="s">
        <v>552</v>
      </c>
      <c r="M45" s="1020">
        <v>1497</v>
      </c>
      <c r="N45" s="1021">
        <v>1497</v>
      </c>
      <c r="O45" s="1005">
        <v>162</v>
      </c>
      <c r="P45" s="531">
        <f t="shared" si="6"/>
        <v>242514</v>
      </c>
      <c r="Q45" s="531">
        <f>(P45*3%)+60000</f>
        <v>67275.42</v>
      </c>
      <c r="R45" s="531">
        <f t="shared" si="7"/>
        <v>309789.42</v>
      </c>
      <c r="S45" s="2">
        <v>49</v>
      </c>
      <c r="T45" s="1035">
        <f t="shared" si="8"/>
        <v>151796.81579999998</v>
      </c>
      <c r="U45" s="1036">
        <f t="shared" si="9"/>
        <v>157992.6042</v>
      </c>
    </row>
    <row r="46" spans="1:21" ht="16.5" thickBot="1" x14ac:dyDescent="0.25">
      <c r="A46" s="1037"/>
      <c r="B46" s="1045"/>
      <c r="C46" s="1019" t="s">
        <v>553</v>
      </c>
      <c r="D46" s="1020">
        <v>1004</v>
      </c>
      <c r="E46" s="1021">
        <v>1004</v>
      </c>
      <c r="F46" s="1005">
        <v>464</v>
      </c>
      <c r="G46" s="531">
        <f t="shared" si="4"/>
        <v>465856</v>
      </c>
      <c r="H46" s="2">
        <v>51</v>
      </c>
      <c r="I46" s="156">
        <f>G46*0.51</f>
        <v>237586.56</v>
      </c>
      <c r="J46" s="1022">
        <f t="shared" si="5"/>
        <v>228269.44</v>
      </c>
      <c r="K46" s="1024"/>
      <c r="L46" s="1019" t="s">
        <v>553</v>
      </c>
      <c r="M46" s="1020">
        <v>1007</v>
      </c>
      <c r="N46" s="1021">
        <v>1007</v>
      </c>
      <c r="O46" s="1005">
        <v>464</v>
      </c>
      <c r="P46" s="531">
        <f t="shared" si="6"/>
        <v>467248</v>
      </c>
      <c r="Q46" s="531">
        <f>(P46*3%)+3000</f>
        <v>17017.439999999999</v>
      </c>
      <c r="R46" s="531">
        <f t="shared" si="7"/>
        <v>484265.44</v>
      </c>
      <c r="S46" s="2">
        <v>51</v>
      </c>
      <c r="T46" s="1035">
        <f t="shared" si="8"/>
        <v>237290.0656</v>
      </c>
      <c r="U46" s="1036">
        <f t="shared" si="9"/>
        <v>246975.3744</v>
      </c>
    </row>
    <row r="47" spans="1:21" ht="16.5" thickBot="1" x14ac:dyDescent="0.25">
      <c r="A47" s="1048"/>
      <c r="C47" s="1019" t="s">
        <v>68</v>
      </c>
      <c r="D47" s="1038">
        <v>15681</v>
      </c>
      <c r="E47" s="1039">
        <f>SUM(E41:E46)</f>
        <v>15636</v>
      </c>
      <c r="F47" s="1039"/>
      <c r="G47" s="1040">
        <f>SUM(G41:G46)</f>
        <v>5125979</v>
      </c>
      <c r="H47" s="1041"/>
      <c r="I47" s="1042">
        <f>SUM(I41:I46)</f>
        <v>2476564.13</v>
      </c>
      <c r="J47" s="1077">
        <f>G47-I47</f>
        <v>2649414.87</v>
      </c>
      <c r="K47" s="1024"/>
      <c r="L47" s="1019" t="s">
        <v>68</v>
      </c>
      <c r="M47" s="1038">
        <v>15681</v>
      </c>
      <c r="N47" s="1039">
        <f>SUM(N41:N46)</f>
        <v>15701</v>
      </c>
      <c r="O47" s="1039"/>
      <c r="P47" s="1040">
        <f>SUM(P41:P46)</f>
        <v>5144483</v>
      </c>
      <c r="Q47" s="1040">
        <f>SUM(Q41:Q46)</f>
        <v>519934.49</v>
      </c>
      <c r="R47" s="1040">
        <f>SUM(R41:R46)</f>
        <v>5664417.4900000002</v>
      </c>
      <c r="S47" s="1041"/>
      <c r="T47" s="1044">
        <f>R47*0.47</f>
        <v>2662276.2203000002</v>
      </c>
      <c r="U47" s="1043">
        <f>R47-T47</f>
        <v>3002141.2697000001</v>
      </c>
    </row>
    <row r="48" spans="1:21" ht="16.5" thickBot="1" x14ac:dyDescent="0.25">
      <c r="C48" s="1004"/>
      <c r="D48" s="1005"/>
      <c r="E48" s="1005"/>
      <c r="F48" s="1005"/>
      <c r="G48" s="1007"/>
      <c r="H48" s="270"/>
      <c r="I48" s="1006"/>
      <c r="J48" s="276"/>
      <c r="K48" s="1025"/>
      <c r="L48" s="1008"/>
      <c r="M48" s="1005"/>
      <c r="N48" s="1005"/>
      <c r="O48" s="1007"/>
      <c r="P48" s="270"/>
      <c r="Q48" s="276"/>
      <c r="R48" s="276"/>
      <c r="S48" s="1014"/>
      <c r="T48" s="1044"/>
      <c r="U48" s="1043"/>
    </row>
    <row r="49" spans="3:21" ht="16.5" thickBot="1" x14ac:dyDescent="0.25">
      <c r="C49" s="1049" t="s">
        <v>992</v>
      </c>
      <c r="D49" s="1005"/>
      <c r="E49" s="1005">
        <v>908</v>
      </c>
      <c r="F49" s="1005"/>
      <c r="G49" s="591">
        <v>99416</v>
      </c>
      <c r="H49" s="270"/>
      <c r="I49" s="1006">
        <v>45681</v>
      </c>
      <c r="J49" s="1006">
        <f>G49-I49</f>
        <v>53735</v>
      </c>
      <c r="K49" s="276"/>
      <c r="L49" s="1008"/>
      <c r="M49" s="1005"/>
      <c r="N49" s="1005"/>
      <c r="O49" s="1007"/>
      <c r="Q49" s="276"/>
      <c r="R49" s="270">
        <f>G49+(G49*3%)</f>
        <v>102398.48</v>
      </c>
      <c r="S49" s="1014"/>
      <c r="T49" s="1044"/>
      <c r="U49" s="1043"/>
    </row>
    <row r="50" spans="3:21" ht="16.5" thickBot="1" x14ac:dyDescent="0.25">
      <c r="C50" s="1049"/>
      <c r="D50" s="1005"/>
      <c r="E50" s="1005"/>
      <c r="F50" s="1005"/>
      <c r="G50" s="1007"/>
      <c r="H50" s="270"/>
      <c r="I50" s="1006"/>
      <c r="J50" s="1006"/>
      <c r="K50" s="276"/>
      <c r="L50" s="1008"/>
      <c r="M50" s="1005"/>
      <c r="N50" s="1005"/>
      <c r="O50" s="1007"/>
      <c r="P50" s="270"/>
      <c r="Q50" s="276"/>
      <c r="R50" s="276"/>
      <c r="S50" s="1014"/>
      <c r="T50" s="1044"/>
      <c r="U50" s="1043"/>
    </row>
    <row r="51" spans="3:21" ht="16.5" thickBot="1" x14ac:dyDescent="0.25">
      <c r="C51" s="1049" t="s">
        <v>993</v>
      </c>
      <c r="D51" s="1005"/>
      <c r="E51" s="1005"/>
      <c r="F51" s="1005"/>
      <c r="G51" s="591">
        <f>G47+G49</f>
        <v>5225395</v>
      </c>
      <c r="H51" s="270"/>
      <c r="I51" s="1006">
        <f>I49+I47</f>
        <v>2522245.13</v>
      </c>
      <c r="J51" s="1006">
        <f>J47+J49</f>
        <v>2703149.87</v>
      </c>
      <c r="K51" s="456" t="s">
        <v>216</v>
      </c>
      <c r="L51" s="1008"/>
      <c r="M51" s="1005"/>
      <c r="N51" s="1005"/>
      <c r="O51" s="1007"/>
      <c r="P51" s="270"/>
      <c r="Q51" s="276"/>
      <c r="R51" s="1046">
        <f>R47+R49</f>
        <v>5766815.9700000007</v>
      </c>
      <c r="S51" s="1014"/>
      <c r="T51" s="1044">
        <f t="shared" ref="T51" si="10">R51*0.47</f>
        <v>2710403.5059000002</v>
      </c>
      <c r="U51" s="1043">
        <f>R51-T51</f>
        <v>3056412.4641000004</v>
      </c>
    </row>
    <row r="52" spans="3:21" ht="16.5" thickBot="1" x14ac:dyDescent="0.25">
      <c r="C52" s="1049"/>
      <c r="D52" s="1005"/>
      <c r="E52" s="1005"/>
      <c r="F52" s="1005"/>
      <c r="G52" s="1007"/>
      <c r="H52" s="270"/>
      <c r="I52" s="1006"/>
      <c r="J52" s="1006"/>
      <c r="K52" s="276"/>
      <c r="L52" s="1008"/>
      <c r="M52" s="1005"/>
      <c r="N52" s="1005"/>
      <c r="O52" s="1007"/>
      <c r="P52" s="270"/>
      <c r="Q52" s="276"/>
      <c r="R52" s="276"/>
      <c r="S52" s="1014"/>
    </row>
    <row r="53" spans="3:21" ht="15.75" x14ac:dyDescent="0.2">
      <c r="C53" s="1010" t="s">
        <v>1037</v>
      </c>
      <c r="D53" s="1011"/>
      <c r="E53" s="1011"/>
      <c r="F53" s="1011"/>
      <c r="G53" s="1011"/>
      <c r="H53" s="1011"/>
      <c r="I53" s="1011"/>
      <c r="J53" s="1011"/>
      <c r="K53" s="1011"/>
      <c r="L53" s="1011"/>
      <c r="M53" s="1011"/>
      <c r="N53" s="514"/>
      <c r="O53" s="514"/>
      <c r="P53" s="514"/>
      <c r="Q53" s="1012"/>
      <c r="R53" s="276"/>
    </row>
    <row r="54" spans="3:21" ht="15.75" x14ac:dyDescent="0.2">
      <c r="C54" s="1013" t="s">
        <v>769</v>
      </c>
      <c r="D54" s="1009"/>
      <c r="E54" s="1009"/>
      <c r="F54" s="1009"/>
      <c r="G54" s="1009"/>
      <c r="H54" s="1009"/>
      <c r="I54" s="1009"/>
      <c r="J54" s="1009"/>
      <c r="K54" s="1009"/>
      <c r="L54" s="276"/>
      <c r="M54" s="276"/>
      <c r="N54" s="276"/>
      <c r="O54" s="276"/>
      <c r="P54" s="276"/>
      <c r="Q54" s="1014"/>
      <c r="R54" s="276"/>
    </row>
    <row r="55" spans="3:21" ht="16.5" thickBot="1" x14ac:dyDescent="0.25">
      <c r="C55" s="1015" t="s">
        <v>770</v>
      </c>
      <c r="D55" s="1016"/>
      <c r="E55" s="1016"/>
      <c r="F55" s="1016"/>
      <c r="G55" s="1016"/>
      <c r="H55" s="1016"/>
      <c r="I55" s="1016"/>
      <c r="J55" s="1016"/>
      <c r="K55" s="1016"/>
      <c r="L55" s="1016"/>
      <c r="M55" s="1016"/>
      <c r="N55" s="1016"/>
      <c r="O55" s="1017"/>
      <c r="P55" s="1017"/>
      <c r="Q55" s="1018"/>
      <c r="R55" s="276"/>
      <c r="U55" s="8" t="s">
        <v>216</v>
      </c>
    </row>
  </sheetData>
  <mergeCells count="6">
    <mergeCell ref="C24:E24"/>
    <mergeCell ref="F24:I24"/>
    <mergeCell ref="J24:L24"/>
    <mergeCell ref="A33:B37"/>
    <mergeCell ref="C39:I39"/>
    <mergeCell ref="L39:S39"/>
  </mergeCell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workbookViewId="0">
      <selection activeCell="A16" sqref="A16"/>
    </sheetView>
  </sheetViews>
  <sheetFormatPr defaultColWidth="8.85546875" defaultRowHeight="12.75" x14ac:dyDescent="0.2"/>
  <cols>
    <col min="10" max="11" width="12.42578125" customWidth="1"/>
  </cols>
  <sheetData>
    <row r="1" spans="1:17" ht="15.75" x14ac:dyDescent="0.25">
      <c r="A1" s="32" t="s">
        <v>537</v>
      </c>
    </row>
    <row r="3" spans="1:17" ht="16.5" thickBot="1" x14ac:dyDescent="0.3">
      <c r="A3" s="33" t="s">
        <v>538</v>
      </c>
      <c r="B3" s="34"/>
      <c r="C3" s="34"/>
      <c r="D3" s="34"/>
      <c r="E3" s="34"/>
      <c r="F3" s="34"/>
    </row>
    <row r="4" spans="1:17" ht="237.75" thickTop="1" thickBot="1" x14ac:dyDescent="0.3">
      <c r="A4" s="35"/>
      <c r="B4" s="36" t="s">
        <v>68</v>
      </c>
      <c r="C4" s="37" t="s">
        <v>188</v>
      </c>
      <c r="D4" s="38" t="s">
        <v>539</v>
      </c>
      <c r="E4" s="39"/>
      <c r="F4" s="40" t="s">
        <v>540</v>
      </c>
      <c r="G4" s="41"/>
      <c r="H4" s="42" t="s">
        <v>541</v>
      </c>
      <c r="I4" s="43" t="s">
        <v>542</v>
      </c>
      <c r="J4" s="44" t="s">
        <v>543</v>
      </c>
      <c r="K4" s="45" t="s">
        <v>544</v>
      </c>
      <c r="L4" s="46" t="s">
        <v>545</v>
      </c>
      <c r="M4" s="46" t="s">
        <v>546</v>
      </c>
    </row>
    <row r="5" spans="1:17" ht="17.25" thickTop="1" thickBot="1" x14ac:dyDescent="0.3">
      <c r="A5" s="47" t="s">
        <v>220</v>
      </c>
      <c r="B5" s="48">
        <f t="shared" ref="B5:B11" si="0">H5*70/100</f>
        <v>3728.9</v>
      </c>
      <c r="C5" s="49">
        <v>2110</v>
      </c>
      <c r="D5" s="50">
        <v>1620</v>
      </c>
      <c r="E5" s="51"/>
      <c r="F5" s="52">
        <v>0.7</v>
      </c>
      <c r="G5" s="53"/>
      <c r="H5" s="54">
        <v>5327</v>
      </c>
      <c r="I5" s="55">
        <v>2314</v>
      </c>
      <c r="J5" s="56">
        <v>1584</v>
      </c>
      <c r="K5" s="57">
        <v>1429</v>
      </c>
      <c r="L5" s="58">
        <f t="shared" ref="L5" si="1">SUM(L6:L11)</f>
        <v>13688</v>
      </c>
      <c r="M5" s="59">
        <f>B5/L5</f>
        <v>0.27242109877264759</v>
      </c>
      <c r="N5" s="60"/>
    </row>
    <row r="6" spans="1:17" ht="16.5" thickTop="1" x14ac:dyDescent="0.25">
      <c r="A6" s="61" t="s">
        <v>547</v>
      </c>
      <c r="B6" s="62">
        <f t="shared" si="0"/>
        <v>289.10000000000002</v>
      </c>
      <c r="C6" s="63"/>
      <c r="D6" s="63"/>
      <c r="E6" s="64"/>
      <c r="F6" s="65">
        <v>0.7</v>
      </c>
      <c r="G6" s="53"/>
      <c r="H6" s="66">
        <f t="shared" ref="H6:H11" si="2">I6+J6+K6</f>
        <v>413</v>
      </c>
      <c r="I6" s="67">
        <v>91</v>
      </c>
      <c r="J6" s="68">
        <v>30</v>
      </c>
      <c r="K6" s="69">
        <v>292</v>
      </c>
      <c r="L6" s="58">
        <v>1223</v>
      </c>
      <c r="M6" s="59">
        <f t="shared" ref="M6:M11" si="3">B6/L6</f>
        <v>0.23638593622240395</v>
      </c>
    </row>
    <row r="7" spans="1:17" ht="15.75" x14ac:dyDescent="0.25">
      <c r="A7" s="70" t="s">
        <v>548</v>
      </c>
      <c r="B7" s="71">
        <f t="shared" si="0"/>
        <v>701.4</v>
      </c>
      <c r="C7" s="72"/>
      <c r="D7" s="72"/>
      <c r="E7" s="64"/>
      <c r="F7" s="65">
        <v>0.7</v>
      </c>
      <c r="G7" s="53"/>
      <c r="H7" s="66">
        <f t="shared" si="2"/>
        <v>1002</v>
      </c>
      <c r="I7" s="67">
        <v>198</v>
      </c>
      <c r="J7" s="68">
        <v>303</v>
      </c>
      <c r="K7" s="69">
        <v>501</v>
      </c>
      <c r="L7" s="58">
        <v>2036</v>
      </c>
      <c r="M7" s="59">
        <f t="shared" si="3"/>
        <v>0.34449901768172886</v>
      </c>
    </row>
    <row r="8" spans="1:17" ht="15.75" x14ac:dyDescent="0.25">
      <c r="A8" s="70" t="s">
        <v>549</v>
      </c>
      <c r="B8" s="71">
        <f t="shared" si="0"/>
        <v>507.5</v>
      </c>
      <c r="C8" s="72"/>
      <c r="D8" s="72"/>
      <c r="E8" s="64"/>
      <c r="F8" s="65">
        <v>0.7</v>
      </c>
      <c r="G8" s="53"/>
      <c r="H8" s="66">
        <f t="shared" si="2"/>
        <v>725</v>
      </c>
      <c r="I8" s="67">
        <v>168</v>
      </c>
      <c r="J8" s="68">
        <v>317</v>
      </c>
      <c r="K8" s="69">
        <v>240</v>
      </c>
      <c r="L8" s="58">
        <v>2178</v>
      </c>
      <c r="M8" s="59">
        <f t="shared" si="3"/>
        <v>0.23301193755739211</v>
      </c>
    </row>
    <row r="9" spans="1:17" ht="15.75" x14ac:dyDescent="0.25">
      <c r="A9" s="73" t="s">
        <v>550</v>
      </c>
      <c r="B9" s="72">
        <f t="shared" si="0"/>
        <v>522.20000000000005</v>
      </c>
      <c r="C9" s="72"/>
      <c r="D9" s="72"/>
      <c r="E9" s="74"/>
      <c r="F9" s="75">
        <v>0.7</v>
      </c>
      <c r="G9" s="76"/>
      <c r="H9" s="77">
        <f t="shared" si="2"/>
        <v>746</v>
      </c>
      <c r="I9" s="78">
        <v>312</v>
      </c>
      <c r="J9" s="79">
        <v>264</v>
      </c>
      <c r="K9" s="80">
        <v>170</v>
      </c>
      <c r="L9" s="58">
        <v>5492</v>
      </c>
      <c r="M9" s="59">
        <f t="shared" si="3"/>
        <v>9.5083758193736351E-2</v>
      </c>
      <c r="N9" s="18" t="s">
        <v>551</v>
      </c>
      <c r="O9" s="18"/>
      <c r="P9" s="18"/>
      <c r="Q9" s="18"/>
    </row>
    <row r="10" spans="1:17" ht="15.75" x14ac:dyDescent="0.25">
      <c r="A10" s="70" t="s">
        <v>552</v>
      </c>
      <c r="B10" s="71">
        <f t="shared" si="0"/>
        <v>1008</v>
      </c>
      <c r="C10" s="72"/>
      <c r="D10" s="72"/>
      <c r="E10" s="64"/>
      <c r="F10" s="65">
        <v>0.7</v>
      </c>
      <c r="G10" s="53"/>
      <c r="H10" s="66">
        <f t="shared" si="2"/>
        <v>1440</v>
      </c>
      <c r="I10" s="67">
        <v>1440</v>
      </c>
      <c r="J10" s="68">
        <v>0</v>
      </c>
      <c r="K10" s="69">
        <v>0</v>
      </c>
      <c r="L10" s="58">
        <v>1754</v>
      </c>
      <c r="M10" s="59">
        <f t="shared" si="3"/>
        <v>0.57468643101482331</v>
      </c>
    </row>
    <row r="11" spans="1:17" ht="16.5" thickBot="1" x14ac:dyDescent="0.3">
      <c r="A11" s="81" t="s">
        <v>553</v>
      </c>
      <c r="B11" s="82">
        <f t="shared" si="0"/>
        <v>700.7</v>
      </c>
      <c r="C11" s="83"/>
      <c r="D11" s="83"/>
      <c r="E11" s="84"/>
      <c r="F11" s="85">
        <v>0.7</v>
      </c>
      <c r="G11" s="86"/>
      <c r="H11" s="87">
        <f t="shared" si="2"/>
        <v>1001</v>
      </c>
      <c r="I11" s="88">
        <v>100</v>
      </c>
      <c r="J11" s="89">
        <v>500</v>
      </c>
      <c r="K11" s="90">
        <v>401</v>
      </c>
      <c r="L11" s="91">
        <v>1005</v>
      </c>
      <c r="M11" s="59">
        <f t="shared" si="3"/>
        <v>0.69721393034825874</v>
      </c>
    </row>
    <row r="12" spans="1:17" ht="13.5" thickTop="1" x14ac:dyDescent="0.2">
      <c r="B12" s="60"/>
      <c r="H12" s="60"/>
    </row>
    <row r="13" spans="1:17" x14ac:dyDescent="0.2">
      <c r="Q13" s="60"/>
    </row>
    <row r="14" spans="1:17" ht="16.5" thickBot="1" x14ac:dyDescent="0.3">
      <c r="A14" s="33" t="s">
        <v>554</v>
      </c>
      <c r="B14" s="34"/>
      <c r="C14" s="34"/>
      <c r="D14" s="34"/>
      <c r="E14" s="34"/>
      <c r="F14" s="34"/>
    </row>
    <row r="15" spans="1:17" ht="64.5" thickTop="1" thickBot="1" x14ac:dyDescent="0.3">
      <c r="A15" s="35"/>
      <c r="B15" s="36" t="s">
        <v>68</v>
      </c>
      <c r="C15" s="37" t="s">
        <v>188</v>
      </c>
      <c r="D15" s="38" t="s">
        <v>539</v>
      </c>
      <c r="E15" s="39"/>
      <c r="F15" s="40" t="s">
        <v>540</v>
      </c>
      <c r="G15" s="41"/>
      <c r="H15" s="42" t="s">
        <v>541</v>
      </c>
      <c r="I15" s="92" t="s">
        <v>555</v>
      </c>
      <c r="J15" s="40" t="s">
        <v>556</v>
      </c>
      <c r="K15" s="45"/>
      <c r="L15" s="46"/>
      <c r="M15" s="46"/>
    </row>
    <row r="16" spans="1:17" ht="17.25" thickTop="1" thickBot="1" x14ac:dyDescent="0.3">
      <c r="A16" s="47" t="s">
        <v>220</v>
      </c>
      <c r="B16" s="48">
        <v>5646</v>
      </c>
      <c r="C16" s="49">
        <v>4026</v>
      </c>
      <c r="D16" s="50">
        <v>1620</v>
      </c>
      <c r="E16" s="51"/>
      <c r="F16" s="52">
        <v>0.55000000000000004</v>
      </c>
      <c r="G16" s="53"/>
      <c r="H16" s="54">
        <v>10266</v>
      </c>
      <c r="I16" s="55">
        <v>2314</v>
      </c>
      <c r="J16" s="93">
        <v>7952</v>
      </c>
      <c r="K16" s="57"/>
      <c r="L16" s="58">
        <f t="shared" ref="L16" si="4">SUM(L17:L22)</f>
        <v>13688</v>
      </c>
      <c r="M16" s="59">
        <f>B16/L16</f>
        <v>0.41247808299240213</v>
      </c>
      <c r="N16" s="60"/>
    </row>
    <row r="17" spans="1:14" ht="16.5" thickTop="1" x14ac:dyDescent="0.25">
      <c r="A17" s="61" t="s">
        <v>547</v>
      </c>
      <c r="B17" s="62">
        <f>H17*70/100</f>
        <v>289.10000000000002</v>
      </c>
      <c r="C17" s="63"/>
      <c r="D17" s="63"/>
      <c r="E17" s="64"/>
      <c r="F17" s="65">
        <v>0.7</v>
      </c>
      <c r="G17" s="53"/>
      <c r="H17" s="66">
        <v>413</v>
      </c>
      <c r="I17" s="67">
        <v>91</v>
      </c>
      <c r="J17" s="94">
        <f t="shared" ref="J17:J22" si="5">H17-I17</f>
        <v>322</v>
      </c>
      <c r="K17" s="95"/>
      <c r="L17" s="58">
        <v>1223</v>
      </c>
      <c r="M17" s="59">
        <f t="shared" ref="M17:M22" si="6">B17/L17</f>
        <v>0.23638593622240395</v>
      </c>
    </row>
    <row r="18" spans="1:14" ht="15.75" x14ac:dyDescent="0.25">
      <c r="A18" s="70" t="s">
        <v>548</v>
      </c>
      <c r="B18" s="71">
        <f>H18*70/100</f>
        <v>701.4</v>
      </c>
      <c r="C18" s="72"/>
      <c r="D18" s="72"/>
      <c r="E18" s="64"/>
      <c r="F18" s="65">
        <v>0.7</v>
      </c>
      <c r="G18" s="53"/>
      <c r="H18" s="66">
        <v>1002</v>
      </c>
      <c r="I18" s="67">
        <v>198</v>
      </c>
      <c r="J18" s="94">
        <f t="shared" si="5"/>
        <v>804</v>
      </c>
      <c r="K18" s="95"/>
      <c r="L18" s="58">
        <v>2036</v>
      </c>
      <c r="M18" s="59">
        <f t="shared" si="6"/>
        <v>0.34449901768172886</v>
      </c>
    </row>
    <row r="19" spans="1:14" ht="15.75" x14ac:dyDescent="0.25">
      <c r="A19" s="70" t="s">
        <v>549</v>
      </c>
      <c r="B19" s="71">
        <f>H19*70/100</f>
        <v>749</v>
      </c>
      <c r="C19" s="72"/>
      <c r="D19" s="72"/>
      <c r="E19" s="64"/>
      <c r="F19" s="65">
        <v>0.7</v>
      </c>
      <c r="G19" s="53"/>
      <c r="H19" s="66">
        <v>1070</v>
      </c>
      <c r="I19" s="67">
        <v>165</v>
      </c>
      <c r="J19" s="94">
        <f t="shared" si="5"/>
        <v>905</v>
      </c>
      <c r="K19" s="95"/>
      <c r="L19" s="58">
        <v>2178</v>
      </c>
      <c r="M19" s="59">
        <f t="shared" si="6"/>
        <v>0.34389348025711663</v>
      </c>
    </row>
    <row r="20" spans="1:14" ht="15.75" x14ac:dyDescent="0.25">
      <c r="A20" s="70" t="s">
        <v>550</v>
      </c>
      <c r="B20" s="71">
        <f>H20*40/100</f>
        <v>2132</v>
      </c>
      <c r="C20" s="72"/>
      <c r="D20" s="72"/>
      <c r="E20" s="64"/>
      <c r="F20" s="65">
        <v>0.4</v>
      </c>
      <c r="G20" s="53"/>
      <c r="H20" s="66">
        <v>5330</v>
      </c>
      <c r="I20" s="67">
        <v>312</v>
      </c>
      <c r="J20" s="94">
        <f t="shared" si="5"/>
        <v>5018</v>
      </c>
      <c r="K20" s="95"/>
      <c r="L20" s="58">
        <v>5492</v>
      </c>
      <c r="M20" s="59">
        <f t="shared" si="6"/>
        <v>0.38820101966496723</v>
      </c>
      <c r="N20" t="s">
        <v>557</v>
      </c>
    </row>
    <row r="21" spans="1:14" ht="15.75" x14ac:dyDescent="0.25">
      <c r="A21" s="70" t="s">
        <v>552</v>
      </c>
      <c r="B21" s="71">
        <f>H21*70/100</f>
        <v>1013.6</v>
      </c>
      <c r="C21" s="72"/>
      <c r="D21" s="72"/>
      <c r="E21" s="64"/>
      <c r="F21" s="65">
        <v>0.7</v>
      </c>
      <c r="G21" s="53"/>
      <c r="H21" s="66">
        <v>1448</v>
      </c>
      <c r="I21" s="67">
        <v>1448</v>
      </c>
      <c r="J21" s="94">
        <f t="shared" si="5"/>
        <v>0</v>
      </c>
      <c r="K21" s="95"/>
      <c r="L21" s="58">
        <v>1754</v>
      </c>
      <c r="M21" s="59">
        <f t="shared" si="6"/>
        <v>0.57787913340935004</v>
      </c>
    </row>
    <row r="22" spans="1:14" ht="16.5" thickBot="1" x14ac:dyDescent="0.3">
      <c r="A22" s="81" t="s">
        <v>553</v>
      </c>
      <c r="B22" s="82">
        <f>H22*70/100</f>
        <v>702.8</v>
      </c>
      <c r="C22" s="83"/>
      <c r="D22" s="83"/>
      <c r="E22" s="84"/>
      <c r="F22" s="85">
        <v>0.7</v>
      </c>
      <c r="G22" s="86"/>
      <c r="H22" s="87">
        <v>1004</v>
      </c>
      <c r="I22" s="88">
        <v>100</v>
      </c>
      <c r="J22" s="96">
        <f t="shared" si="5"/>
        <v>904</v>
      </c>
      <c r="K22" s="97"/>
      <c r="L22" s="91">
        <v>1005</v>
      </c>
      <c r="M22" s="59">
        <f t="shared" si="6"/>
        <v>0.69930348258706465</v>
      </c>
    </row>
    <row r="23" spans="1:14" ht="13.5" thickTop="1" x14ac:dyDescent="0.2">
      <c r="B23" s="60"/>
      <c r="H23" s="60"/>
    </row>
    <row r="26" spans="1:14" ht="16.5" thickBot="1" x14ac:dyDescent="0.3">
      <c r="A26" s="33" t="s">
        <v>558</v>
      </c>
      <c r="B26" s="34"/>
      <c r="C26" s="34"/>
      <c r="D26" s="34"/>
      <c r="E26" s="34"/>
      <c r="F26" s="34"/>
      <c r="I26" s="98" t="s">
        <v>559</v>
      </c>
      <c r="J26" s="98" t="s">
        <v>560</v>
      </c>
    </row>
    <row r="27" spans="1:14" ht="64.5" thickTop="1" thickBot="1" x14ac:dyDescent="0.3">
      <c r="A27" s="35"/>
      <c r="B27" s="36" t="s">
        <v>68</v>
      </c>
      <c r="C27" s="37" t="s">
        <v>188</v>
      </c>
      <c r="D27" s="38" t="s">
        <v>539</v>
      </c>
      <c r="E27" s="39"/>
      <c r="F27" s="40" t="s">
        <v>540</v>
      </c>
      <c r="G27" s="41"/>
      <c r="H27" s="42" t="s">
        <v>541</v>
      </c>
      <c r="I27" s="92" t="s">
        <v>555</v>
      </c>
      <c r="J27" s="40" t="s">
        <v>556</v>
      </c>
      <c r="K27" s="45" t="s">
        <v>561</v>
      </c>
      <c r="L27" s="99" t="s">
        <v>562</v>
      </c>
      <c r="M27" s="46"/>
    </row>
    <row r="28" spans="1:14" ht="17.25" thickTop="1" thickBot="1" x14ac:dyDescent="0.3">
      <c r="A28" s="47" t="s">
        <v>220</v>
      </c>
      <c r="B28" s="48">
        <v>19992</v>
      </c>
      <c r="C28" s="49">
        <v>13512</v>
      </c>
      <c r="D28" s="50">
        <v>6480</v>
      </c>
      <c r="E28" s="51"/>
      <c r="F28" s="52">
        <v>0.6</v>
      </c>
      <c r="G28" s="53"/>
      <c r="H28" s="54">
        <v>10266</v>
      </c>
      <c r="I28" s="55">
        <v>2314</v>
      </c>
      <c r="J28" s="93">
        <v>7952</v>
      </c>
      <c r="K28" s="57">
        <v>33112</v>
      </c>
      <c r="L28" s="100">
        <v>139173</v>
      </c>
      <c r="M28" s="59">
        <f>B28/L28</f>
        <v>0.14364855252096312</v>
      </c>
    </row>
    <row r="29" spans="1:14" ht="16.5" thickTop="1" x14ac:dyDescent="0.25">
      <c r="A29" s="61" t="s">
        <v>547</v>
      </c>
      <c r="B29" s="62">
        <f>K29*70/100</f>
        <v>931</v>
      </c>
      <c r="C29" s="63"/>
      <c r="D29" s="63"/>
      <c r="E29" s="64"/>
      <c r="F29" s="65">
        <v>0.7</v>
      </c>
      <c r="G29" s="53"/>
      <c r="H29" s="66">
        <v>413</v>
      </c>
      <c r="I29" s="67">
        <v>91</v>
      </c>
      <c r="J29" s="94">
        <f t="shared" ref="J29:J34" si="7">H29-I29</f>
        <v>322</v>
      </c>
      <c r="K29" s="69">
        <f>I29*4+J29*3</f>
        <v>1330</v>
      </c>
      <c r="L29" s="58">
        <v>11983</v>
      </c>
      <c r="M29" s="59">
        <f>B29/L29</f>
        <v>7.769339898189101E-2</v>
      </c>
    </row>
    <row r="30" spans="1:14" ht="15.75" x14ac:dyDescent="0.25">
      <c r="A30" s="70" t="s">
        <v>548</v>
      </c>
      <c r="B30" s="71">
        <f>K30*70/100</f>
        <v>2242.8000000000002</v>
      </c>
      <c r="C30" s="72"/>
      <c r="D30" s="72"/>
      <c r="E30" s="64"/>
      <c r="F30" s="65">
        <v>0.7</v>
      </c>
      <c r="G30" s="53"/>
      <c r="H30" s="66">
        <v>1002</v>
      </c>
      <c r="I30" s="67">
        <v>198</v>
      </c>
      <c r="J30" s="94">
        <f t="shared" si="7"/>
        <v>804</v>
      </c>
      <c r="K30" s="69">
        <f t="shared" ref="K30:K34" si="8">I30*4+J30*3</f>
        <v>3204</v>
      </c>
      <c r="L30" s="58">
        <v>13567</v>
      </c>
      <c r="M30" s="59">
        <f t="shared" ref="M30:M34" si="9">B30/L30</f>
        <v>0.16531289157514559</v>
      </c>
    </row>
    <row r="31" spans="1:14" ht="15.75" x14ac:dyDescent="0.25">
      <c r="A31" s="70" t="s">
        <v>549</v>
      </c>
      <c r="B31" s="71">
        <f>K31*70/100</f>
        <v>2362.5</v>
      </c>
      <c r="C31" s="72"/>
      <c r="D31" s="72"/>
      <c r="E31" s="64"/>
      <c r="F31" s="65">
        <v>0.7</v>
      </c>
      <c r="G31" s="53"/>
      <c r="H31" s="66">
        <v>1070</v>
      </c>
      <c r="I31" s="67">
        <v>165</v>
      </c>
      <c r="J31" s="94">
        <f t="shared" si="7"/>
        <v>905</v>
      </c>
      <c r="K31" s="69">
        <f t="shared" si="8"/>
        <v>3375</v>
      </c>
      <c r="L31" s="58">
        <v>35604</v>
      </c>
      <c r="M31" s="59">
        <f t="shared" si="9"/>
        <v>6.6354903943377147E-2</v>
      </c>
    </row>
    <row r="32" spans="1:14" ht="15.75" x14ac:dyDescent="0.25">
      <c r="A32" s="70" t="s">
        <v>550</v>
      </c>
      <c r="B32" s="71">
        <f>K32*50/100</f>
        <v>8151</v>
      </c>
      <c r="C32" s="72"/>
      <c r="D32" s="72"/>
      <c r="E32" s="64"/>
      <c r="F32" s="65">
        <v>0.5</v>
      </c>
      <c r="G32" s="53"/>
      <c r="H32" s="66">
        <v>5330</v>
      </c>
      <c r="I32" s="67">
        <v>312</v>
      </c>
      <c r="J32" s="94">
        <f t="shared" si="7"/>
        <v>5018</v>
      </c>
      <c r="K32" s="69">
        <f t="shared" si="8"/>
        <v>16302</v>
      </c>
      <c r="L32" s="58">
        <v>51247</v>
      </c>
      <c r="M32" s="59">
        <f>B32/L32</f>
        <v>0.15905321287099733</v>
      </c>
      <c r="N32" t="s">
        <v>557</v>
      </c>
    </row>
    <row r="33" spans="1:14" ht="15.75" x14ac:dyDescent="0.25">
      <c r="A33" s="70" t="s">
        <v>552</v>
      </c>
      <c r="B33" s="71">
        <f>K33*70/100</f>
        <v>4054.4</v>
      </c>
      <c r="C33" s="72"/>
      <c r="D33" s="72"/>
      <c r="E33" s="64"/>
      <c r="F33" s="65">
        <v>0.7</v>
      </c>
      <c r="G33" s="53"/>
      <c r="H33" s="66">
        <v>1448</v>
      </c>
      <c r="I33" s="67">
        <v>1448</v>
      </c>
      <c r="J33" s="94">
        <f t="shared" si="7"/>
        <v>0</v>
      </c>
      <c r="K33" s="69">
        <f t="shared" si="8"/>
        <v>5792</v>
      </c>
      <c r="L33" s="58">
        <v>14433</v>
      </c>
      <c r="M33" s="59">
        <f t="shared" si="9"/>
        <v>0.28091179934871474</v>
      </c>
    </row>
    <row r="34" spans="1:14" ht="16.5" thickBot="1" x14ac:dyDescent="0.3">
      <c r="A34" s="81" t="s">
        <v>553</v>
      </c>
      <c r="B34" s="82">
        <f>K34*70/100</f>
        <v>2178.4</v>
      </c>
      <c r="C34" s="83"/>
      <c r="D34" s="83"/>
      <c r="E34" s="84"/>
      <c r="F34" s="85">
        <v>0.7</v>
      </c>
      <c r="G34" s="86"/>
      <c r="H34" s="87">
        <v>1004</v>
      </c>
      <c r="I34" s="88">
        <v>100</v>
      </c>
      <c r="J34" s="96">
        <f t="shared" si="7"/>
        <v>904</v>
      </c>
      <c r="K34" s="90">
        <f t="shared" si="8"/>
        <v>3112</v>
      </c>
      <c r="L34" s="91">
        <v>12339</v>
      </c>
      <c r="M34" s="59">
        <f t="shared" si="9"/>
        <v>0.17654591133803388</v>
      </c>
    </row>
    <row r="35" spans="1:14" ht="13.5" thickTop="1" x14ac:dyDescent="0.2">
      <c r="B35" s="60"/>
      <c r="H35" s="60"/>
      <c r="I35" s="60"/>
      <c r="J35" s="60"/>
      <c r="K35" s="60"/>
      <c r="L35" s="60"/>
      <c r="M35" s="60"/>
    </row>
    <row r="37" spans="1:14" ht="16.5" thickBot="1" x14ac:dyDescent="0.3">
      <c r="A37" s="33" t="s">
        <v>563</v>
      </c>
      <c r="B37" s="34"/>
      <c r="C37" s="34"/>
      <c r="D37" s="34"/>
      <c r="E37" s="34"/>
      <c r="F37" s="34"/>
    </row>
    <row r="38" spans="1:14" ht="64.5" thickTop="1" thickBot="1" x14ac:dyDescent="0.3">
      <c r="A38" s="35"/>
      <c r="B38" s="36" t="s">
        <v>68</v>
      </c>
      <c r="C38" s="37" t="s">
        <v>188</v>
      </c>
      <c r="D38" s="38" t="s">
        <v>539</v>
      </c>
      <c r="E38" s="39"/>
      <c r="F38" s="40" t="s">
        <v>540</v>
      </c>
      <c r="G38" s="41"/>
      <c r="H38" s="42" t="s">
        <v>541</v>
      </c>
      <c r="I38" s="92" t="s">
        <v>555</v>
      </c>
      <c r="J38" s="40" t="s">
        <v>556</v>
      </c>
      <c r="K38" s="45"/>
      <c r="L38" s="46"/>
      <c r="M38" s="46"/>
    </row>
    <row r="39" spans="1:14" ht="17.25" thickTop="1" thickBot="1" x14ac:dyDescent="0.3">
      <c r="A39" s="47" t="s">
        <v>220</v>
      </c>
      <c r="B39" s="48">
        <v>5167</v>
      </c>
      <c r="C39" s="49">
        <v>3547</v>
      </c>
      <c r="D39" s="50">
        <v>1620</v>
      </c>
      <c r="E39" s="51"/>
      <c r="F39" s="52">
        <v>0.5</v>
      </c>
      <c r="G39" s="53"/>
      <c r="H39" s="54">
        <v>10266</v>
      </c>
      <c r="I39" s="55">
        <v>2314</v>
      </c>
      <c r="J39" s="93">
        <v>7952</v>
      </c>
      <c r="K39" s="57"/>
      <c r="L39" s="58">
        <f t="shared" ref="L39" si="10">SUM(L40:L45)</f>
        <v>13688</v>
      </c>
      <c r="M39" s="59">
        <f>B39/L39</f>
        <v>0.37748392752776155</v>
      </c>
      <c r="N39" s="60"/>
    </row>
    <row r="40" spans="1:14" ht="16.5" thickTop="1" x14ac:dyDescent="0.25">
      <c r="A40" s="61" t="s">
        <v>547</v>
      </c>
      <c r="B40" s="62">
        <f>H40*70/100</f>
        <v>289.10000000000002</v>
      </c>
      <c r="C40" s="63"/>
      <c r="D40" s="63"/>
      <c r="E40" s="64"/>
      <c r="F40" s="65">
        <v>0.7</v>
      </c>
      <c r="G40" s="53"/>
      <c r="H40" s="66">
        <v>413</v>
      </c>
      <c r="I40" s="67">
        <v>91</v>
      </c>
      <c r="J40" s="94">
        <f t="shared" ref="J40:J45" si="11">H40-I40</f>
        <v>322</v>
      </c>
      <c r="K40" s="95"/>
      <c r="L40" s="58">
        <v>1223</v>
      </c>
      <c r="M40" s="59">
        <f t="shared" ref="M40:M45" si="12">B40/L40</f>
        <v>0.23638593622240395</v>
      </c>
    </row>
    <row r="41" spans="1:14" ht="15.75" x14ac:dyDescent="0.25">
      <c r="A41" s="70" t="s">
        <v>548</v>
      </c>
      <c r="B41" s="71">
        <f>H41*70/100</f>
        <v>701.4</v>
      </c>
      <c r="C41" s="72"/>
      <c r="D41" s="72"/>
      <c r="E41" s="64"/>
      <c r="F41" s="65">
        <v>0.7</v>
      </c>
      <c r="G41" s="53"/>
      <c r="H41" s="66">
        <v>1002</v>
      </c>
      <c r="I41" s="67">
        <v>198</v>
      </c>
      <c r="J41" s="94">
        <f t="shared" si="11"/>
        <v>804</v>
      </c>
      <c r="K41" s="95"/>
      <c r="L41" s="58">
        <v>2036</v>
      </c>
      <c r="M41" s="59">
        <f t="shared" si="12"/>
        <v>0.34449901768172886</v>
      </c>
    </row>
    <row r="42" spans="1:14" ht="15.75" x14ac:dyDescent="0.25">
      <c r="A42" s="70" t="s">
        <v>549</v>
      </c>
      <c r="B42" s="71">
        <f>H42*70/100</f>
        <v>749</v>
      </c>
      <c r="C42" s="72"/>
      <c r="D42" s="72"/>
      <c r="E42" s="64"/>
      <c r="F42" s="65">
        <v>0.7</v>
      </c>
      <c r="G42" s="53"/>
      <c r="H42" s="66">
        <v>1070</v>
      </c>
      <c r="I42" s="67">
        <v>165</v>
      </c>
      <c r="J42" s="94">
        <f t="shared" si="11"/>
        <v>905</v>
      </c>
      <c r="K42" s="95"/>
      <c r="L42" s="58">
        <v>2178</v>
      </c>
      <c r="M42" s="59">
        <f t="shared" si="12"/>
        <v>0.34389348025711663</v>
      </c>
    </row>
    <row r="43" spans="1:14" ht="15.75" x14ac:dyDescent="0.25">
      <c r="A43" s="70" t="s">
        <v>550</v>
      </c>
      <c r="B43" s="71">
        <f>H43*30/100</f>
        <v>1599</v>
      </c>
      <c r="C43" s="72"/>
      <c r="D43" s="72"/>
      <c r="E43" s="64"/>
      <c r="F43" s="65">
        <v>0.3</v>
      </c>
      <c r="G43" s="53"/>
      <c r="H43" s="66">
        <v>5330</v>
      </c>
      <c r="I43" s="67">
        <v>312</v>
      </c>
      <c r="J43" s="94">
        <f t="shared" si="11"/>
        <v>5018</v>
      </c>
      <c r="K43" s="95"/>
      <c r="L43" s="58">
        <v>5492</v>
      </c>
      <c r="M43" s="59">
        <f t="shared" si="12"/>
        <v>0.29115076474872542</v>
      </c>
      <c r="N43" t="s">
        <v>557</v>
      </c>
    </row>
    <row r="44" spans="1:14" ht="15.75" x14ac:dyDescent="0.25">
      <c r="A44" s="70" t="s">
        <v>552</v>
      </c>
      <c r="B44" s="71">
        <f>H44*70/100</f>
        <v>1013.6</v>
      </c>
      <c r="C44" s="72"/>
      <c r="D44" s="72"/>
      <c r="E44" s="64"/>
      <c r="F44" s="65">
        <v>0.7</v>
      </c>
      <c r="G44" s="53"/>
      <c r="H44" s="66">
        <v>1448</v>
      </c>
      <c r="I44" s="67">
        <v>1448</v>
      </c>
      <c r="J44" s="94">
        <f t="shared" si="11"/>
        <v>0</v>
      </c>
      <c r="K44" s="95"/>
      <c r="L44" s="58">
        <v>1754</v>
      </c>
      <c r="M44" s="59">
        <f t="shared" si="12"/>
        <v>0.57787913340935004</v>
      </c>
    </row>
    <row r="45" spans="1:14" ht="16.5" thickBot="1" x14ac:dyDescent="0.3">
      <c r="A45" s="81" t="s">
        <v>553</v>
      </c>
      <c r="B45" s="82">
        <f>H45*70/100</f>
        <v>702.8</v>
      </c>
      <c r="C45" s="83"/>
      <c r="D45" s="83"/>
      <c r="E45" s="84"/>
      <c r="F45" s="85">
        <v>0.7</v>
      </c>
      <c r="G45" s="86"/>
      <c r="H45" s="87">
        <v>1004</v>
      </c>
      <c r="I45" s="88">
        <v>100</v>
      </c>
      <c r="J45" s="96">
        <f t="shared" si="11"/>
        <v>904</v>
      </c>
      <c r="K45" s="97"/>
      <c r="L45" s="91">
        <v>1005</v>
      </c>
      <c r="M45" s="59">
        <f t="shared" si="12"/>
        <v>0.69930348258706465</v>
      </c>
    </row>
    <row r="46" spans="1:14" ht="13.5" thickTop="1" x14ac:dyDescent="0.2">
      <c r="B46" s="60"/>
    </row>
  </sheetData>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9"/>
  <sheetViews>
    <sheetView workbookViewId="0">
      <selection activeCell="K37" sqref="K37"/>
    </sheetView>
  </sheetViews>
  <sheetFormatPr defaultColWidth="8.85546875" defaultRowHeight="12.75" x14ac:dyDescent="0.2"/>
  <cols>
    <col min="1" max="1" width="31" customWidth="1"/>
    <col min="5" max="5" width="10.5703125" customWidth="1"/>
    <col min="8" max="8" width="12.42578125" customWidth="1"/>
    <col min="9" max="9" width="21.85546875" bestFit="1" customWidth="1"/>
    <col min="11" max="11" width="14.140625" customWidth="1"/>
    <col min="12" max="12" width="17.42578125" bestFit="1" customWidth="1"/>
    <col min="18" max="18" width="12.42578125" customWidth="1"/>
  </cols>
  <sheetData>
    <row r="1" spans="1:18" ht="15.75" x14ac:dyDescent="0.25">
      <c r="A1" s="32" t="s">
        <v>564</v>
      </c>
    </row>
    <row r="2" spans="1:18" ht="13.5" thickBot="1" x14ac:dyDescent="0.25">
      <c r="H2" s="101">
        <f>H5*0.7</f>
        <v>10976.699999999999</v>
      </c>
      <c r="I2" s="101">
        <f>0.7*I5</f>
        <v>9581.5999999999985</v>
      </c>
      <c r="J2" s="101"/>
      <c r="K2" s="101">
        <f>9126/H5</f>
        <v>0.58197819016644348</v>
      </c>
    </row>
    <row r="3" spans="1:18" ht="16.5" thickBot="1" x14ac:dyDescent="0.3">
      <c r="A3" s="616" t="s">
        <v>565</v>
      </c>
      <c r="B3" s="2545">
        <v>2015</v>
      </c>
      <c r="C3" s="2545"/>
      <c r="D3" s="2545">
        <v>2016</v>
      </c>
      <c r="E3" s="2546"/>
      <c r="M3" s="2539">
        <v>2015</v>
      </c>
      <c r="N3" s="2540"/>
      <c r="O3" s="2541"/>
      <c r="P3" s="2539">
        <v>2016</v>
      </c>
      <c r="Q3" s="2540"/>
      <c r="R3" s="2541"/>
    </row>
    <row r="4" spans="1:18" ht="15.75" x14ac:dyDescent="0.25">
      <c r="A4" s="102"/>
      <c r="B4" s="103" t="s">
        <v>188</v>
      </c>
      <c r="C4" s="103" t="s">
        <v>189</v>
      </c>
      <c r="D4" s="103" t="s">
        <v>188</v>
      </c>
      <c r="E4" s="104" t="s">
        <v>189</v>
      </c>
      <c r="G4" s="617"/>
      <c r="H4" s="618" t="s">
        <v>566</v>
      </c>
      <c r="I4" s="618" t="s">
        <v>567</v>
      </c>
      <c r="J4" s="618"/>
      <c r="K4" s="618" t="s">
        <v>568</v>
      </c>
      <c r="L4" s="105" t="s">
        <v>568</v>
      </c>
      <c r="M4" s="617" t="s">
        <v>569</v>
      </c>
      <c r="N4" s="106" t="s">
        <v>570</v>
      </c>
      <c r="O4" s="619" t="s">
        <v>571</v>
      </c>
      <c r="P4" s="617" t="s">
        <v>569</v>
      </c>
      <c r="Q4" s="620" t="s">
        <v>570</v>
      </c>
      <c r="R4" s="619" t="s">
        <v>571</v>
      </c>
    </row>
    <row r="5" spans="1:18" ht="15.75" x14ac:dyDescent="0.25">
      <c r="A5" s="107" t="s">
        <v>572</v>
      </c>
      <c r="B5" s="58">
        <f>B6+B8+B10+B12+B14+B16</f>
        <v>1832.8999999999999</v>
      </c>
      <c r="C5" s="58">
        <f>C6+C8+C10+C12+C14+C16</f>
        <v>2729.9485</v>
      </c>
      <c r="D5" s="58">
        <f>D6+D8+D10+D12+D14+D16</f>
        <v>575.61320000000001</v>
      </c>
      <c r="E5" s="100">
        <f>E6+E8+E10+E12+E14+E16</f>
        <v>4588.0720000000001</v>
      </c>
      <c r="G5" s="107" t="s">
        <v>572</v>
      </c>
      <c r="H5" s="58">
        <f>SUM(H6:H11)</f>
        <v>15681</v>
      </c>
      <c r="I5" s="58">
        <f>SUM(I6:I11)</f>
        <v>13688</v>
      </c>
      <c r="J5" s="58"/>
      <c r="K5" s="58">
        <f>SUM(K6:K11)</f>
        <v>139173</v>
      </c>
      <c r="L5" s="108">
        <f>SUM(L6:L11)</f>
        <v>100998</v>
      </c>
      <c r="M5" s="109">
        <f>SUM(M6:M11)</f>
        <v>40935</v>
      </c>
      <c r="N5" s="110">
        <f>SUM(N6:N11)</f>
        <v>18119</v>
      </c>
      <c r="O5" s="111">
        <f>M5+N5</f>
        <v>59054</v>
      </c>
      <c r="P5" s="109">
        <f>M5</f>
        <v>40935</v>
      </c>
      <c r="Q5" s="2">
        <f>SUM(Q6:Q11)</f>
        <v>26257</v>
      </c>
      <c r="R5" s="111">
        <f>P5+Q5</f>
        <v>67192</v>
      </c>
    </row>
    <row r="6" spans="1:18" ht="15.75" x14ac:dyDescent="0.25">
      <c r="A6" s="2537" t="s">
        <v>547</v>
      </c>
      <c r="B6" s="58">
        <f>B7*I6</f>
        <v>122.30000000000001</v>
      </c>
      <c r="C6" s="112">
        <f>C7*I6</f>
        <v>427.43849999999998</v>
      </c>
      <c r="D6" s="58">
        <f>D7*I6</f>
        <v>12.23</v>
      </c>
      <c r="E6" s="100">
        <f>E7*I6</f>
        <v>671.42700000000002</v>
      </c>
      <c r="G6" s="107" t="s">
        <v>547</v>
      </c>
      <c r="H6" s="58">
        <v>1223</v>
      </c>
      <c r="I6" s="58">
        <v>1223</v>
      </c>
      <c r="J6" s="58"/>
      <c r="K6" s="58">
        <v>11983</v>
      </c>
      <c r="L6" s="108">
        <v>11983</v>
      </c>
      <c r="M6" s="109">
        <v>2320</v>
      </c>
      <c r="N6" s="113">
        <v>0</v>
      </c>
      <c r="O6" s="111">
        <f t="shared" ref="O6:O11" si="0">M6+N6</f>
        <v>2320</v>
      </c>
      <c r="P6" s="109">
        <f t="shared" ref="P6:P11" si="1">M6</f>
        <v>2320</v>
      </c>
      <c r="Q6" s="114">
        <f>P6</f>
        <v>2320</v>
      </c>
      <c r="R6" s="111">
        <f t="shared" ref="R6:R11" si="2">P6+Q6</f>
        <v>4640</v>
      </c>
    </row>
    <row r="7" spans="1:18" ht="15.75" x14ac:dyDescent="0.25">
      <c r="A7" s="2537"/>
      <c r="B7" s="115">
        <v>0.1</v>
      </c>
      <c r="C7" s="115">
        <v>0.34949999999999998</v>
      </c>
      <c r="D7" s="115">
        <v>0.01</v>
      </c>
      <c r="E7" s="116">
        <v>0.54900000000000004</v>
      </c>
      <c r="G7" s="107" t="s">
        <v>548</v>
      </c>
      <c r="H7" s="58">
        <v>1997</v>
      </c>
      <c r="I7" s="58">
        <v>2036</v>
      </c>
      <c r="J7" s="58"/>
      <c r="K7" s="58">
        <v>13567</v>
      </c>
      <c r="L7" s="108">
        <v>13196</v>
      </c>
      <c r="M7" s="109">
        <f>I7*4</f>
        <v>8144</v>
      </c>
      <c r="N7" s="117">
        <v>0</v>
      </c>
      <c r="O7" s="111">
        <f t="shared" si="0"/>
        <v>8144</v>
      </c>
      <c r="P7" s="109">
        <f t="shared" si="1"/>
        <v>8144</v>
      </c>
      <c r="Q7" s="118">
        <v>0</v>
      </c>
      <c r="R7" s="111">
        <f t="shared" si="2"/>
        <v>8144</v>
      </c>
    </row>
    <row r="8" spans="1:18" ht="15.75" x14ac:dyDescent="0.25">
      <c r="A8" s="2537" t="s">
        <v>548</v>
      </c>
      <c r="B8" s="58">
        <f>B9*I7</f>
        <v>305.39999999999998</v>
      </c>
      <c r="C8" s="58">
        <f>C9*I7</f>
        <v>305.39999999999998</v>
      </c>
      <c r="D8" s="58">
        <f>D9*I7</f>
        <v>50.900000000000006</v>
      </c>
      <c r="E8" s="100">
        <f>E9*I7</f>
        <v>509</v>
      </c>
      <c r="G8" s="107" t="s">
        <v>549</v>
      </c>
      <c r="H8" s="58">
        <v>4225</v>
      </c>
      <c r="I8" s="58">
        <v>2178</v>
      </c>
      <c r="J8" s="58"/>
      <c r="K8" s="58">
        <v>35604</v>
      </c>
      <c r="L8" s="108">
        <v>13278</v>
      </c>
      <c r="M8" s="109">
        <f>I8*3</f>
        <v>6534</v>
      </c>
      <c r="N8" s="117">
        <v>0</v>
      </c>
      <c r="O8" s="111">
        <f t="shared" si="0"/>
        <v>6534</v>
      </c>
      <c r="P8" s="109">
        <f t="shared" si="1"/>
        <v>6534</v>
      </c>
      <c r="Q8" s="118">
        <v>0</v>
      </c>
      <c r="R8" s="111">
        <f t="shared" si="2"/>
        <v>6534</v>
      </c>
    </row>
    <row r="9" spans="1:18" ht="15.75" x14ac:dyDescent="0.25">
      <c r="A9" s="2537"/>
      <c r="B9" s="115">
        <v>0.15</v>
      </c>
      <c r="C9" s="115">
        <v>0.15</v>
      </c>
      <c r="D9" s="115">
        <v>2.5000000000000001E-2</v>
      </c>
      <c r="E9" s="116">
        <v>0.25</v>
      </c>
      <c r="G9" s="107" t="s">
        <v>573</v>
      </c>
      <c r="H9" s="58">
        <v>5732</v>
      </c>
      <c r="I9" s="58">
        <v>5492</v>
      </c>
      <c r="J9" s="58"/>
      <c r="K9" s="58">
        <v>51247</v>
      </c>
      <c r="L9" s="108">
        <v>39465</v>
      </c>
      <c r="M9" s="109">
        <v>13753</v>
      </c>
      <c r="N9" s="110">
        <f>M9</f>
        <v>13753</v>
      </c>
      <c r="O9" s="111">
        <f t="shared" si="0"/>
        <v>27506</v>
      </c>
      <c r="P9" s="109">
        <f t="shared" si="1"/>
        <v>13753</v>
      </c>
      <c r="Q9" s="119">
        <f>P9</f>
        <v>13753</v>
      </c>
      <c r="R9" s="111">
        <f t="shared" si="2"/>
        <v>27506</v>
      </c>
    </row>
    <row r="10" spans="1:18" ht="15.75" x14ac:dyDescent="0.25">
      <c r="A10" s="2537" t="s">
        <v>549</v>
      </c>
      <c r="B10" s="58">
        <f>B11*I8</f>
        <v>217.8</v>
      </c>
      <c r="C10" s="58">
        <f>C11*I8</f>
        <v>370.26000000000005</v>
      </c>
      <c r="D10" s="58">
        <f>D11*I8</f>
        <v>107.5932</v>
      </c>
      <c r="E10" s="100">
        <f>E11*I8</f>
        <v>544.5</v>
      </c>
      <c r="G10" s="107" t="s">
        <v>552</v>
      </c>
      <c r="H10" s="58">
        <v>1497</v>
      </c>
      <c r="I10" s="58">
        <v>1754</v>
      </c>
      <c r="J10" s="58"/>
      <c r="K10" s="58">
        <v>14433</v>
      </c>
      <c r="L10" s="108">
        <v>13296</v>
      </c>
      <c r="M10" s="109">
        <v>5818</v>
      </c>
      <c r="N10" s="113">
        <v>0</v>
      </c>
      <c r="O10" s="111">
        <f t="shared" si="0"/>
        <v>5818</v>
      </c>
      <c r="P10" s="109">
        <f t="shared" si="1"/>
        <v>5818</v>
      </c>
      <c r="Q10" s="114">
        <f>P10</f>
        <v>5818</v>
      </c>
      <c r="R10" s="111">
        <f>P10+Q10</f>
        <v>11636</v>
      </c>
    </row>
    <row r="11" spans="1:18" ht="16.5" thickBot="1" x14ac:dyDescent="0.3">
      <c r="A11" s="2537"/>
      <c r="B11" s="115">
        <v>0.1</v>
      </c>
      <c r="C11" s="115">
        <v>0.17</v>
      </c>
      <c r="D11" s="115">
        <v>4.9399999999999999E-2</v>
      </c>
      <c r="E11" s="116">
        <v>0.25</v>
      </c>
      <c r="G11" s="120" t="s">
        <v>553</v>
      </c>
      <c r="H11" s="91">
        <v>1007</v>
      </c>
      <c r="I11" s="91">
        <v>1005</v>
      </c>
      <c r="J11" s="91"/>
      <c r="K11" s="91">
        <v>12339</v>
      </c>
      <c r="L11" s="121">
        <v>9780</v>
      </c>
      <c r="M11" s="122">
        <v>4366</v>
      </c>
      <c r="N11" s="123">
        <f>M11</f>
        <v>4366</v>
      </c>
      <c r="O11" s="124">
        <f t="shared" si="0"/>
        <v>8732</v>
      </c>
      <c r="P11" s="122">
        <f t="shared" si="1"/>
        <v>4366</v>
      </c>
      <c r="Q11" s="125">
        <f>P11</f>
        <v>4366</v>
      </c>
      <c r="R11" s="124">
        <f t="shared" si="2"/>
        <v>8732</v>
      </c>
    </row>
    <row r="12" spans="1:18" ht="12.75" customHeight="1" x14ac:dyDescent="0.2">
      <c r="A12" s="2537" t="s">
        <v>573</v>
      </c>
      <c r="B12" s="58">
        <f>B13*I9</f>
        <v>823.8</v>
      </c>
      <c r="C12" s="58">
        <f>C13*I9</f>
        <v>823.8</v>
      </c>
      <c r="D12" s="58">
        <f>D13*I9</f>
        <v>109.84</v>
      </c>
      <c r="E12" s="100">
        <f>E13*I9</f>
        <v>1373</v>
      </c>
    </row>
    <row r="13" spans="1:18" ht="13.5" customHeight="1" thickBot="1" x14ac:dyDescent="0.25">
      <c r="A13" s="2537"/>
      <c r="B13" s="115">
        <v>0.15</v>
      </c>
      <c r="C13" s="115">
        <v>0.15</v>
      </c>
      <c r="D13" s="115">
        <v>0.02</v>
      </c>
      <c r="E13" s="116">
        <v>0.25</v>
      </c>
    </row>
    <row r="14" spans="1:18" ht="15.75" x14ac:dyDescent="0.25">
      <c r="A14" s="2537" t="s">
        <v>552</v>
      </c>
      <c r="B14" s="58">
        <f>B15*I10</f>
        <v>263.09999999999997</v>
      </c>
      <c r="C14" s="58">
        <f>C15*I10</f>
        <v>350.8</v>
      </c>
      <c r="D14" s="58">
        <v>285</v>
      </c>
      <c r="E14" s="100">
        <f>E15*I10</f>
        <v>841.92</v>
      </c>
      <c r="G14" s="617" t="s">
        <v>574</v>
      </c>
      <c r="H14" s="2542">
        <v>2015</v>
      </c>
      <c r="I14" s="2542"/>
      <c r="J14" s="621"/>
      <c r="K14" s="2542">
        <v>2016</v>
      </c>
      <c r="L14" s="2543"/>
    </row>
    <row r="15" spans="1:18" ht="15.75" x14ac:dyDescent="0.25">
      <c r="A15" s="2537"/>
      <c r="B15" s="115">
        <v>0.15</v>
      </c>
      <c r="C15" s="115">
        <v>0.2</v>
      </c>
      <c r="D15" s="115">
        <v>0.16</v>
      </c>
      <c r="E15" s="116">
        <v>0.48</v>
      </c>
      <c r="G15" s="126"/>
      <c r="H15" s="103" t="s">
        <v>188</v>
      </c>
      <c r="I15" s="103" t="s">
        <v>189</v>
      </c>
      <c r="J15" s="103"/>
      <c r="K15" s="103" t="s">
        <v>188</v>
      </c>
      <c r="L15" s="104" t="s">
        <v>189</v>
      </c>
      <c r="O15" s="127"/>
    </row>
    <row r="16" spans="1:18" ht="12.75" customHeight="1" x14ac:dyDescent="0.2">
      <c r="A16" s="2537" t="s">
        <v>553</v>
      </c>
      <c r="B16" s="58">
        <f>B17*I11</f>
        <v>100.5</v>
      </c>
      <c r="C16" s="58">
        <f>C17*I11</f>
        <v>452.25</v>
      </c>
      <c r="D16" s="58">
        <f>D17*I11</f>
        <v>10.050000000000001</v>
      </c>
      <c r="E16" s="100">
        <f>E17*I11</f>
        <v>648.22500000000002</v>
      </c>
      <c r="G16" s="2544">
        <v>3.1</v>
      </c>
      <c r="H16" s="58">
        <v>1833</v>
      </c>
      <c r="I16" s="58">
        <v>2730</v>
      </c>
      <c r="J16" s="58"/>
      <c r="K16" s="58">
        <v>378</v>
      </c>
      <c r="L16" s="100">
        <v>4185</v>
      </c>
    </row>
    <row r="17" spans="1:18" ht="13.5" customHeight="1" thickBot="1" x14ac:dyDescent="0.25">
      <c r="A17" s="2538"/>
      <c r="B17" s="128">
        <v>0.1</v>
      </c>
      <c r="C17" s="128">
        <v>0.45</v>
      </c>
      <c r="D17" s="128">
        <v>0.01</v>
      </c>
      <c r="E17" s="129">
        <v>0.64500000000000002</v>
      </c>
      <c r="G17" s="2544"/>
      <c r="H17" s="130">
        <f>H16/I5</f>
        <v>0.13391291642314437</v>
      </c>
      <c r="I17" s="130">
        <f>I16/I5</f>
        <v>0.1994447691408533</v>
      </c>
      <c r="J17" s="130"/>
      <c r="K17" s="130">
        <f>K16/I5</f>
        <v>2.7615429573348917E-2</v>
      </c>
      <c r="L17" s="131">
        <f>L16/I5</f>
        <v>0.30574225599064875</v>
      </c>
    </row>
    <row r="18" spans="1:18" ht="12.75" customHeight="1" x14ac:dyDescent="0.2">
      <c r="G18" s="2544">
        <v>3.2</v>
      </c>
      <c r="H18" s="58">
        <v>3990</v>
      </c>
      <c r="I18" s="58">
        <v>2730</v>
      </c>
      <c r="J18" s="58"/>
      <c r="K18" s="58">
        <v>1835</v>
      </c>
      <c r="L18" s="100">
        <v>5125</v>
      </c>
    </row>
    <row r="19" spans="1:18" ht="13.5" customHeight="1" thickBot="1" x14ac:dyDescent="0.25">
      <c r="G19" s="2544"/>
      <c r="H19" s="130">
        <f>H18/I5</f>
        <v>0.29149620105201635</v>
      </c>
      <c r="I19" s="130">
        <f>I18/I5</f>
        <v>0.1994447691408533</v>
      </c>
      <c r="J19" s="130"/>
      <c r="K19" s="130">
        <f>K18/I5</f>
        <v>0.13405902980713033</v>
      </c>
      <c r="L19" s="131">
        <f>L18/I5</f>
        <v>0.37441554646405611</v>
      </c>
    </row>
    <row r="20" spans="1:18" ht="15.75" x14ac:dyDescent="0.25">
      <c r="A20" s="616" t="s">
        <v>575</v>
      </c>
      <c r="B20" s="2545">
        <v>2015</v>
      </c>
      <c r="C20" s="2545"/>
      <c r="D20" s="2545">
        <v>2016</v>
      </c>
      <c r="E20" s="2546"/>
      <c r="G20" s="2544">
        <v>3.3</v>
      </c>
      <c r="H20" s="58">
        <v>14125</v>
      </c>
      <c r="I20" s="58">
        <v>10915</v>
      </c>
      <c r="J20" s="58"/>
      <c r="K20" s="58">
        <v>5503</v>
      </c>
      <c r="L20" s="100">
        <v>24327</v>
      </c>
    </row>
    <row r="21" spans="1:18" ht="15.75" x14ac:dyDescent="0.25">
      <c r="A21" s="102"/>
      <c r="B21" s="103" t="s">
        <v>188</v>
      </c>
      <c r="C21" s="103" t="s">
        <v>189</v>
      </c>
      <c r="D21" s="103" t="s">
        <v>188</v>
      </c>
      <c r="E21" s="104" t="s">
        <v>189</v>
      </c>
      <c r="G21" s="2544"/>
      <c r="H21" s="130">
        <f>H20/M5</f>
        <v>0.34505924025894713</v>
      </c>
      <c r="I21" s="130">
        <f>I20/M5</f>
        <v>0.26664223769390499</v>
      </c>
      <c r="J21" s="130"/>
      <c r="K21" s="130">
        <f>K20/M5</f>
        <v>0.13443263710760964</v>
      </c>
      <c r="L21" s="131">
        <f>L20/M5</f>
        <v>0.59428362037376325</v>
      </c>
    </row>
    <row r="22" spans="1:18" ht="15.75" x14ac:dyDescent="0.25">
      <c r="A22" s="107" t="s">
        <v>572</v>
      </c>
      <c r="B22" s="58">
        <f>B23+B25+B27+B29+B31+B33</f>
        <v>5022.25</v>
      </c>
      <c r="C22" s="58">
        <f t="shared" ref="C22:E22" si="3">C23+C25+C27+C29+C31+C33</f>
        <v>2837.2999999999997</v>
      </c>
      <c r="D22" s="58">
        <f t="shared" si="3"/>
        <v>3426.2</v>
      </c>
      <c r="E22" s="100">
        <f t="shared" si="3"/>
        <v>5647.24</v>
      </c>
      <c r="G22" s="2544">
        <v>3.4</v>
      </c>
      <c r="H22" s="58">
        <v>3750</v>
      </c>
      <c r="I22" s="58">
        <v>2730</v>
      </c>
      <c r="J22" s="58"/>
      <c r="K22" s="58">
        <v>1835</v>
      </c>
      <c r="L22" s="100">
        <v>5125</v>
      </c>
    </row>
    <row r="23" spans="1:18" ht="13.5" customHeight="1" thickBot="1" x14ac:dyDescent="0.25">
      <c r="A23" s="2537" t="s">
        <v>547</v>
      </c>
      <c r="B23" s="58">
        <f>B24*H6</f>
        <v>244.60000000000002</v>
      </c>
      <c r="C23" s="58">
        <f>C24*H6</f>
        <v>428.04999999999995</v>
      </c>
      <c r="D23" s="58">
        <f>D24*H6</f>
        <v>122.30000000000001</v>
      </c>
      <c r="E23" s="100">
        <f>E24*H6</f>
        <v>794.95</v>
      </c>
      <c r="G23" s="2547"/>
      <c r="H23" s="132">
        <f>H22/I5</f>
        <v>0.27396259497369957</v>
      </c>
      <c r="I23" s="132">
        <f>I22/I5</f>
        <v>0.1994447691408533</v>
      </c>
      <c r="J23" s="132"/>
      <c r="K23" s="132">
        <f>K22/I5</f>
        <v>0.13405902980713033</v>
      </c>
      <c r="L23" s="133">
        <f>L22/I5</f>
        <v>0.37441554646405611</v>
      </c>
    </row>
    <row r="24" spans="1:18" ht="13.5" customHeight="1" thickBot="1" x14ac:dyDescent="0.25">
      <c r="A24" s="2537"/>
      <c r="B24" s="115">
        <v>0.2</v>
      </c>
      <c r="C24" s="115">
        <v>0.35</v>
      </c>
      <c r="D24" s="115">
        <v>0.1</v>
      </c>
      <c r="E24" s="116">
        <v>0.65</v>
      </c>
    </row>
    <row r="25" spans="1:18" ht="15.75" x14ac:dyDescent="0.25">
      <c r="A25" s="2537" t="s">
        <v>548</v>
      </c>
      <c r="B25" s="58">
        <f>B26*H7</f>
        <v>499.25</v>
      </c>
      <c r="C25" s="58">
        <f>C26*H7</f>
        <v>299.55</v>
      </c>
      <c r="D25" s="58">
        <f>D26*H7</f>
        <v>299.55</v>
      </c>
      <c r="E25" s="100">
        <f>E26*H7</f>
        <v>599.1</v>
      </c>
      <c r="G25" s="2548" t="s">
        <v>576</v>
      </c>
      <c r="H25" s="2549"/>
      <c r="I25" s="2549"/>
      <c r="J25" s="2549"/>
      <c r="K25" s="2549"/>
      <c r="L25" s="2550"/>
      <c r="O25" s="134"/>
      <c r="P25" s="135"/>
      <c r="Q25" s="135"/>
      <c r="R25" s="135"/>
    </row>
    <row r="26" spans="1:18" ht="15.75" x14ac:dyDescent="0.25">
      <c r="A26" s="2537"/>
      <c r="B26" s="115">
        <v>0.25</v>
      </c>
      <c r="C26" s="115">
        <v>0.15</v>
      </c>
      <c r="D26" s="115">
        <v>0.15</v>
      </c>
      <c r="E26" s="116">
        <v>0.3</v>
      </c>
      <c r="G26" s="126"/>
      <c r="H26" s="103" t="s">
        <v>577</v>
      </c>
      <c r="I26" s="103" t="s">
        <v>578</v>
      </c>
      <c r="J26" s="103"/>
      <c r="K26" s="103" t="s">
        <v>579</v>
      </c>
      <c r="L26" s="104" t="s">
        <v>580</v>
      </c>
      <c r="O26" s="134"/>
      <c r="P26" s="135"/>
      <c r="Q26" s="135"/>
      <c r="R26" s="135"/>
    </row>
    <row r="27" spans="1:18" ht="15.75" x14ac:dyDescent="0.25">
      <c r="A27" s="2537" t="s">
        <v>549</v>
      </c>
      <c r="B27" s="58">
        <f>B28*H8</f>
        <v>422.5</v>
      </c>
      <c r="C27" s="58">
        <f>C28*H8</f>
        <v>422.5</v>
      </c>
      <c r="D27" s="112">
        <f>D28*H8</f>
        <v>422.5</v>
      </c>
      <c r="E27" s="1481">
        <f>E28*H8</f>
        <v>676</v>
      </c>
      <c r="G27" s="107" t="s">
        <v>547</v>
      </c>
      <c r="H27" s="115">
        <v>0.03</v>
      </c>
      <c r="I27" s="115">
        <v>0.28000000000000003</v>
      </c>
      <c r="J27" s="115"/>
      <c r="K27" s="115">
        <v>0.28000000000000003</v>
      </c>
      <c r="L27" s="116">
        <v>0.2</v>
      </c>
    </row>
    <row r="28" spans="1:18" ht="15.75" x14ac:dyDescent="0.25">
      <c r="A28" s="2537"/>
      <c r="B28" s="115">
        <v>0.1</v>
      </c>
      <c r="C28" s="115">
        <v>0.1</v>
      </c>
      <c r="D28" s="115">
        <v>0.1</v>
      </c>
      <c r="E28" s="1482">
        <v>0.16</v>
      </c>
      <c r="G28" s="107" t="s">
        <v>548</v>
      </c>
      <c r="H28" s="115">
        <v>0.44</v>
      </c>
      <c r="I28" s="115">
        <v>0.43</v>
      </c>
      <c r="J28" s="115"/>
      <c r="K28" s="115">
        <v>0.81</v>
      </c>
      <c r="L28" s="116">
        <v>0.43</v>
      </c>
    </row>
    <row r="29" spans="1:18" ht="15.75" x14ac:dyDescent="0.25">
      <c r="A29" s="2537" t="s">
        <v>573</v>
      </c>
      <c r="B29" s="58">
        <f>B30*H9</f>
        <v>2579.4</v>
      </c>
      <c r="C29" s="58">
        <f>C30*H9</f>
        <v>859.8</v>
      </c>
      <c r="D29" s="58">
        <f>D30*H9</f>
        <v>2006.1999999999998</v>
      </c>
      <c r="E29" s="100">
        <f>E30*H9</f>
        <v>1719.6</v>
      </c>
      <c r="G29" s="107" t="s">
        <v>549</v>
      </c>
      <c r="H29" s="115">
        <v>0.5</v>
      </c>
      <c r="I29" s="115">
        <v>0.42</v>
      </c>
      <c r="J29" s="115"/>
      <c r="K29" s="115">
        <v>0.72</v>
      </c>
      <c r="L29" s="116">
        <v>0.35</v>
      </c>
    </row>
    <row r="30" spans="1:18" ht="15.75" x14ac:dyDescent="0.25">
      <c r="A30" s="2537"/>
      <c r="B30" s="115">
        <v>0.45</v>
      </c>
      <c r="C30" s="115">
        <v>0.15</v>
      </c>
      <c r="D30" s="115">
        <v>0.35</v>
      </c>
      <c r="E30" s="116">
        <v>0.3</v>
      </c>
      <c r="G30" s="107" t="s">
        <v>573</v>
      </c>
      <c r="H30" s="115">
        <v>0.09</v>
      </c>
      <c r="I30" s="115">
        <v>0.49</v>
      </c>
      <c r="J30" s="115"/>
      <c r="K30" s="115">
        <v>0.36</v>
      </c>
      <c r="L30" s="116">
        <v>0.06</v>
      </c>
    </row>
    <row r="31" spans="1:18" ht="15.75" x14ac:dyDescent="0.25">
      <c r="A31" s="2537" t="s">
        <v>552</v>
      </c>
      <c r="B31" s="58">
        <f>B32*H10</f>
        <v>823.35</v>
      </c>
      <c r="C31" s="58">
        <f>C32*H10</f>
        <v>374.25</v>
      </c>
      <c r="D31" s="58">
        <f>D32*H10</f>
        <v>374.25</v>
      </c>
      <c r="E31" s="1481">
        <f>E32*H10</f>
        <v>1152.69</v>
      </c>
      <c r="G31" s="107" t="s">
        <v>552</v>
      </c>
      <c r="H31" s="115">
        <v>0.66</v>
      </c>
      <c r="I31" s="115">
        <v>0.74</v>
      </c>
      <c r="J31" s="115"/>
      <c r="K31" s="115">
        <v>0.7</v>
      </c>
      <c r="L31" s="116">
        <v>0.17</v>
      </c>
    </row>
    <row r="32" spans="1:18" ht="16.5" thickBot="1" x14ac:dyDescent="0.3">
      <c r="A32" s="2537"/>
      <c r="B32" s="115">
        <v>0.55000000000000004</v>
      </c>
      <c r="C32" s="115">
        <v>0.25</v>
      </c>
      <c r="D32" s="115">
        <v>0.25</v>
      </c>
      <c r="E32" s="1482">
        <v>0.77</v>
      </c>
      <c r="G32" s="120" t="s">
        <v>553</v>
      </c>
      <c r="H32" s="128">
        <v>0.71</v>
      </c>
      <c r="I32" s="128">
        <v>0.88</v>
      </c>
      <c r="J32" s="128"/>
      <c r="K32" s="128">
        <v>0.76</v>
      </c>
      <c r="L32" s="129">
        <v>0.7</v>
      </c>
    </row>
    <row r="33" spans="1:12" ht="15.75" x14ac:dyDescent="0.25">
      <c r="A33" s="2537" t="s">
        <v>553</v>
      </c>
      <c r="B33" s="58">
        <f>B34*H11</f>
        <v>453.15000000000003</v>
      </c>
      <c r="C33" s="58">
        <f>C34*H11</f>
        <v>453.15000000000003</v>
      </c>
      <c r="D33" s="58">
        <f>D34*H11</f>
        <v>201.4</v>
      </c>
      <c r="E33" s="100">
        <f>E34*H11</f>
        <v>704.9</v>
      </c>
      <c r="G33" s="136"/>
      <c r="H33" s="137"/>
      <c r="I33" s="137"/>
      <c r="J33" s="137"/>
      <c r="K33" s="137"/>
      <c r="L33" s="137"/>
    </row>
    <row r="34" spans="1:12" ht="13.5" customHeight="1" thickBot="1" x14ac:dyDescent="0.25">
      <c r="A34" s="2538"/>
      <c r="B34" s="128">
        <v>0.45</v>
      </c>
      <c r="C34" s="128">
        <v>0.45</v>
      </c>
      <c r="D34" s="128">
        <v>0.2</v>
      </c>
      <c r="E34" s="129">
        <v>0.7</v>
      </c>
    </row>
    <row r="35" spans="1:12" ht="13.5" customHeight="1" x14ac:dyDescent="0.2">
      <c r="A35" s="622"/>
      <c r="B35" s="137"/>
      <c r="C35" s="137"/>
      <c r="D35" s="137"/>
      <c r="E35" s="137"/>
    </row>
    <row r="36" spans="1:12" ht="16.5" thickBot="1" x14ac:dyDescent="0.3">
      <c r="A36" s="138" t="s">
        <v>925</v>
      </c>
    </row>
    <row r="37" spans="1:12" ht="15.75" x14ac:dyDescent="0.25">
      <c r="A37" s="530"/>
      <c r="B37" s="2551">
        <v>2015</v>
      </c>
      <c r="C37" s="2552"/>
      <c r="D37" s="2553"/>
      <c r="E37" s="2545">
        <v>2016</v>
      </c>
      <c r="F37" s="2545"/>
      <c r="G37" s="2546"/>
    </row>
    <row r="38" spans="1:12" ht="15.75" x14ac:dyDescent="0.25">
      <c r="A38" s="126"/>
      <c r="B38" s="103" t="s">
        <v>188</v>
      </c>
      <c r="C38" s="103" t="s">
        <v>189</v>
      </c>
      <c r="D38" s="103" t="s">
        <v>68</v>
      </c>
      <c r="E38" s="103" t="s">
        <v>188</v>
      </c>
      <c r="F38" s="140" t="s">
        <v>189</v>
      </c>
      <c r="G38" s="623" t="s">
        <v>68</v>
      </c>
    </row>
    <row r="39" spans="1:12" x14ac:dyDescent="0.2">
      <c r="A39" s="2554" t="s">
        <v>572</v>
      </c>
      <c r="B39" s="58">
        <f>B41+B43+B45+B47+B49+B51</f>
        <v>27826</v>
      </c>
      <c r="C39" s="58">
        <v>10915</v>
      </c>
      <c r="D39" s="58">
        <f>B39+C39</f>
        <v>38741</v>
      </c>
      <c r="E39" s="108">
        <f>E41+E43+E45+E47+E49+E51</f>
        <v>12557</v>
      </c>
      <c r="F39" s="108">
        <f>F41+F43+F45+F47+F49+F51</f>
        <v>31406</v>
      </c>
      <c r="G39" s="111">
        <f>E39+F39</f>
        <v>43963</v>
      </c>
    </row>
    <row r="40" spans="1:12" x14ac:dyDescent="0.2">
      <c r="A40" s="2555"/>
      <c r="B40" s="624">
        <f>B39/K5</f>
        <v>0.19993820640497798</v>
      </c>
      <c r="C40" s="624">
        <f>C39/K5</f>
        <v>7.8427568565741915E-2</v>
      </c>
      <c r="D40" s="624">
        <f>D39/K5</f>
        <v>0.2783657749707199</v>
      </c>
      <c r="E40" s="624">
        <f>E39/K5</f>
        <v>9.0225834033900248E-2</v>
      </c>
      <c r="F40" s="625">
        <f>F39/K5</f>
        <v>0.22566158665833172</v>
      </c>
      <c r="G40" s="626">
        <f>G39/K5</f>
        <v>0.31588742069223197</v>
      </c>
      <c r="I40" s="609"/>
    </row>
    <row r="41" spans="1:12" ht="12.75" customHeight="1" x14ac:dyDescent="0.2">
      <c r="A41" s="2537" t="s">
        <v>547</v>
      </c>
      <c r="B41" s="58">
        <v>896</v>
      </c>
      <c r="C41" s="58">
        <v>928</v>
      </c>
      <c r="D41" s="58">
        <f>B41+C41</f>
        <v>1824</v>
      </c>
      <c r="E41" s="58">
        <v>1096</v>
      </c>
      <c r="F41" s="108">
        <v>2833</v>
      </c>
      <c r="G41" s="111">
        <f>E41+F41</f>
        <v>3929</v>
      </c>
      <c r="I41" s="612"/>
    </row>
    <row r="42" spans="1:12" ht="12.75" customHeight="1" x14ac:dyDescent="0.2">
      <c r="A42" s="2537"/>
      <c r="B42" s="624">
        <f>B41/K6</f>
        <v>7.4772594508887597E-2</v>
      </c>
      <c r="C42" s="624">
        <f>C41/K6</f>
        <v>7.7443044312776432E-2</v>
      </c>
      <c r="D42" s="624">
        <f>D41/K6</f>
        <v>0.15221563882166403</v>
      </c>
      <c r="E42" s="624">
        <f>E41/K6</f>
        <v>9.1462905783192855E-2</v>
      </c>
      <c r="F42" s="625">
        <f>F41/K6</f>
        <v>0.23641825920053408</v>
      </c>
      <c r="G42" s="626">
        <f>G41/K6</f>
        <v>0.32788116498372694</v>
      </c>
      <c r="I42" s="610"/>
    </row>
    <row r="43" spans="1:12" ht="12.75" customHeight="1" x14ac:dyDescent="0.2">
      <c r="A43" s="2537" t="s">
        <v>548</v>
      </c>
      <c r="B43" s="58">
        <v>4943</v>
      </c>
      <c r="C43" s="58">
        <v>814</v>
      </c>
      <c r="D43" s="58">
        <f>B43+C43</f>
        <v>5757</v>
      </c>
      <c r="E43" s="58">
        <v>3318</v>
      </c>
      <c r="F43" s="1487">
        <v>2440</v>
      </c>
      <c r="G43" s="111">
        <f>E43+F43</f>
        <v>5758</v>
      </c>
      <c r="H43" s="1488"/>
      <c r="I43" s="610"/>
    </row>
    <row r="44" spans="1:12" ht="12.75" customHeight="1" x14ac:dyDescent="0.2">
      <c r="A44" s="2537"/>
      <c r="B44" s="624">
        <f>B43/K7</f>
        <v>0.36433994250755508</v>
      </c>
      <c r="C44" s="624">
        <f>C43/K7</f>
        <v>5.9998525834746075E-2</v>
      </c>
      <c r="D44" s="624">
        <f>D43/K7</f>
        <v>0.42433846834230116</v>
      </c>
      <c r="E44" s="624">
        <f>E43/K7</f>
        <v>0.24456401562615168</v>
      </c>
      <c r="F44" s="625">
        <f>F43/K7</f>
        <v>0.17984816097884573</v>
      </c>
      <c r="G44" s="626">
        <f>G43/K7</f>
        <v>0.42441217660499742</v>
      </c>
      <c r="I44" s="610"/>
    </row>
    <row r="45" spans="1:12" ht="12.75" customHeight="1" x14ac:dyDescent="0.2">
      <c r="A45" s="2537" t="s">
        <v>549</v>
      </c>
      <c r="B45" s="58">
        <v>3307</v>
      </c>
      <c r="C45" s="58">
        <v>653</v>
      </c>
      <c r="D45" s="58">
        <f>B45+C45</f>
        <v>3960</v>
      </c>
      <c r="E45" s="58">
        <v>2653</v>
      </c>
      <c r="F45" s="108">
        <v>1960</v>
      </c>
      <c r="G45" s="111">
        <f>E45+F45</f>
        <v>4613</v>
      </c>
      <c r="I45" s="613"/>
    </row>
    <row r="46" spans="1:12" ht="12.75" customHeight="1" x14ac:dyDescent="0.2">
      <c r="A46" s="2537"/>
      <c r="B46" s="624">
        <f>B45/K8</f>
        <v>9.2882822154814068E-2</v>
      </c>
      <c r="C46" s="624">
        <f>C45/K8</f>
        <v>1.8340635883608583E-2</v>
      </c>
      <c r="D46" s="624">
        <f>D45/K8</f>
        <v>0.11122345803842265</v>
      </c>
      <c r="E46" s="624">
        <f>E45/K8</f>
        <v>7.4514099539377598E-2</v>
      </c>
      <c r="F46" s="625">
        <f>F45/K8</f>
        <v>5.5049994382653636E-2</v>
      </c>
      <c r="G46" s="626">
        <f>G45/K8</f>
        <v>0.12956409392203122</v>
      </c>
      <c r="I46" s="1045"/>
    </row>
    <row r="47" spans="1:12" ht="12.75" customHeight="1" x14ac:dyDescent="0.2">
      <c r="A47" s="2537" t="s">
        <v>573</v>
      </c>
      <c r="B47" s="58">
        <v>8023</v>
      </c>
      <c r="C47" s="58">
        <v>3427</v>
      </c>
      <c r="D47" s="58">
        <f>B47+C47</f>
        <v>11450</v>
      </c>
      <c r="E47" s="58">
        <v>2428</v>
      </c>
      <c r="F47" s="1487">
        <v>8824</v>
      </c>
      <c r="G47" s="111">
        <f>E47+F47</f>
        <v>11252</v>
      </c>
      <c r="H47" s="1488"/>
      <c r="I47" s="1045"/>
    </row>
    <row r="48" spans="1:12" ht="12.75" customHeight="1" x14ac:dyDescent="0.2">
      <c r="A48" s="2537"/>
      <c r="B48" s="624">
        <f>B47/K9</f>
        <v>0.15655550568813784</v>
      </c>
      <c r="C48" s="624">
        <f>C47/K9</f>
        <v>6.6872207153589477E-2</v>
      </c>
      <c r="D48" s="624">
        <f>D47/K9</f>
        <v>0.22342771284172733</v>
      </c>
      <c r="E48" s="624">
        <f>E47/K9</f>
        <v>4.7378383124865843E-2</v>
      </c>
      <c r="F48" s="625">
        <f>F47/K9</f>
        <v>0.17218568891837571</v>
      </c>
      <c r="G48" s="626">
        <f>G47/K9</f>
        <v>0.21956407204324155</v>
      </c>
      <c r="I48" s="1045"/>
    </row>
    <row r="49" spans="1:13" ht="12.75" customHeight="1" x14ac:dyDescent="0.2">
      <c r="A49" s="2537" t="s">
        <v>552</v>
      </c>
      <c r="B49" s="58">
        <v>6164</v>
      </c>
      <c r="C49" s="58">
        <v>1164</v>
      </c>
      <c r="D49" s="58">
        <f>B49+C49</f>
        <v>7328</v>
      </c>
      <c r="E49" s="58">
        <v>1189</v>
      </c>
      <c r="F49" s="1487">
        <v>8800</v>
      </c>
      <c r="G49" s="111">
        <f>E49+F49</f>
        <v>9989</v>
      </c>
      <c r="H49" s="1488"/>
      <c r="I49" s="1045"/>
    </row>
    <row r="50" spans="1:13" ht="12.75" customHeight="1" x14ac:dyDescent="0.2">
      <c r="A50" s="2537"/>
      <c r="B50" s="624">
        <f>B49/K10</f>
        <v>0.42707683780225869</v>
      </c>
      <c r="C50" s="624">
        <f>C49/K10</f>
        <v>8.0648513822490123E-2</v>
      </c>
      <c r="D50" s="624">
        <f>D49/K10</f>
        <v>0.50772535162474886</v>
      </c>
      <c r="E50" s="624">
        <f>E49/K10</f>
        <v>8.238065544238897E-2</v>
      </c>
      <c r="F50" s="625">
        <f>F49/K10</f>
        <v>0.60971385020439273</v>
      </c>
      <c r="G50" s="626">
        <f>G49/K10</f>
        <v>0.69209450564678165</v>
      </c>
    </row>
    <row r="51" spans="1:13" ht="12.75" customHeight="1" x14ac:dyDescent="0.2">
      <c r="A51" s="2537" t="s">
        <v>553</v>
      </c>
      <c r="B51" s="58">
        <v>4493</v>
      </c>
      <c r="C51" s="58">
        <v>3929</v>
      </c>
      <c r="D51" s="58">
        <f>B51+C51</f>
        <v>8422</v>
      </c>
      <c r="E51" s="58">
        <v>1873</v>
      </c>
      <c r="F51" s="108">
        <v>6549</v>
      </c>
      <c r="G51" s="111">
        <f>E51+F51</f>
        <v>8422</v>
      </c>
    </row>
    <row r="52" spans="1:13" ht="13.5" customHeight="1" thickBot="1" x14ac:dyDescent="0.25">
      <c r="A52" s="2538"/>
      <c r="B52" s="627">
        <f>B51/K11</f>
        <v>0.36412999432693088</v>
      </c>
      <c r="C52" s="627">
        <f>C51/K11</f>
        <v>0.31842126590485453</v>
      </c>
      <c r="D52" s="627">
        <f>D51/K11</f>
        <v>0.68255126023178536</v>
      </c>
      <c r="E52" s="627">
        <f>E51/K11</f>
        <v>0.15179512116054786</v>
      </c>
      <c r="F52" s="628">
        <f>F51/K11</f>
        <v>0.53075613907123753</v>
      </c>
      <c r="G52" s="629">
        <f>G51/K11</f>
        <v>0.68255126023178536</v>
      </c>
    </row>
    <row r="54" spans="1:13" ht="13.5" thickBot="1" x14ac:dyDescent="0.25">
      <c r="G54" s="142"/>
      <c r="H54" s="20" t="s">
        <v>18</v>
      </c>
      <c r="I54" s="20" t="s">
        <v>17</v>
      </c>
      <c r="J54" s="20" t="s">
        <v>16</v>
      </c>
      <c r="K54" s="20" t="s">
        <v>15</v>
      </c>
      <c r="L54" s="20" t="s">
        <v>14</v>
      </c>
      <c r="M54" s="20" t="s">
        <v>13</v>
      </c>
    </row>
    <row r="55" spans="1:13" ht="15.75" x14ac:dyDescent="0.25">
      <c r="A55" s="616" t="s">
        <v>581</v>
      </c>
      <c r="B55" s="2545">
        <v>2015</v>
      </c>
      <c r="C55" s="2545"/>
      <c r="D55" s="2545">
        <v>2016</v>
      </c>
      <c r="E55" s="2546"/>
      <c r="G55" s="142" t="s">
        <v>10</v>
      </c>
      <c r="H55" s="29">
        <v>162</v>
      </c>
      <c r="I55" s="29">
        <v>710</v>
      </c>
      <c r="J55" s="29">
        <v>333</v>
      </c>
      <c r="K55" s="29" t="s">
        <v>357</v>
      </c>
      <c r="L55" s="29">
        <v>1300</v>
      </c>
      <c r="M55" s="29">
        <v>666</v>
      </c>
    </row>
    <row r="56" spans="1:13" ht="15.75" x14ac:dyDescent="0.25">
      <c r="A56" s="102"/>
      <c r="B56" s="103" t="s">
        <v>188</v>
      </c>
      <c r="C56" s="103" t="s">
        <v>189</v>
      </c>
      <c r="D56" s="103" t="s">
        <v>188</v>
      </c>
      <c r="E56" s="104" t="s">
        <v>189</v>
      </c>
      <c r="G56" s="142" t="s">
        <v>582</v>
      </c>
      <c r="H56" s="143">
        <f>H55/I6</f>
        <v>0.13246116107931316</v>
      </c>
      <c r="I56" s="143">
        <f>I55/I7</f>
        <v>0.34872298624754422</v>
      </c>
      <c r="J56" s="143">
        <f>J55/I8</f>
        <v>0.15289256198347106</v>
      </c>
      <c r="K56" s="143"/>
      <c r="L56" s="143">
        <f>L55/I10</f>
        <v>0.74116305587229192</v>
      </c>
      <c r="M56" s="143">
        <f>M55/I11</f>
        <v>0.66268656716417906</v>
      </c>
    </row>
    <row r="57" spans="1:13" ht="15.75" x14ac:dyDescent="0.25">
      <c r="A57" s="107" t="s">
        <v>572</v>
      </c>
      <c r="B57" s="58">
        <f>B58+B60+B62+B64+B66+B68</f>
        <v>3750.1419999999998</v>
      </c>
      <c r="C57" s="58">
        <f t="shared" ref="C57:E57" si="4">C58+C60+C62+C64+C66+C68</f>
        <v>2729.9485</v>
      </c>
      <c r="D57" s="58">
        <f t="shared" si="4"/>
        <v>1726.434</v>
      </c>
      <c r="E57" s="100">
        <f t="shared" si="4"/>
        <v>5448.6019999999999</v>
      </c>
      <c r="G57" s="142"/>
      <c r="H57" s="144"/>
      <c r="I57" s="144"/>
      <c r="J57" s="144"/>
      <c r="K57" s="144"/>
      <c r="L57" s="144"/>
      <c r="M57" s="144"/>
    </row>
    <row r="58" spans="1:13" ht="12.75" customHeight="1" x14ac:dyDescent="0.2">
      <c r="A58" s="2537" t="s">
        <v>547</v>
      </c>
      <c r="B58" s="58">
        <f>B59*I6</f>
        <v>611.5</v>
      </c>
      <c r="C58" s="58">
        <f>C59*I6</f>
        <v>427.43849999999998</v>
      </c>
      <c r="D58" s="58">
        <f>D59*I6</f>
        <v>183.45</v>
      </c>
      <c r="E58" s="100">
        <f>E59*I6</f>
        <v>917.25</v>
      </c>
      <c r="G58" s="142" t="s">
        <v>583</v>
      </c>
      <c r="H58" s="29">
        <v>446</v>
      </c>
      <c r="I58" s="29">
        <v>752</v>
      </c>
      <c r="J58" s="29">
        <v>521</v>
      </c>
      <c r="K58" s="29">
        <v>3376</v>
      </c>
      <c r="L58" s="29">
        <v>1359</v>
      </c>
      <c r="M58" s="29">
        <v>875</v>
      </c>
    </row>
    <row r="59" spans="1:13" ht="12.75" customHeight="1" x14ac:dyDescent="0.2">
      <c r="A59" s="2537"/>
      <c r="B59" s="115">
        <v>0.5</v>
      </c>
      <c r="C59" s="115">
        <v>0.34949999999999998</v>
      </c>
      <c r="D59" s="115">
        <v>0.15</v>
      </c>
      <c r="E59" s="116">
        <v>0.75</v>
      </c>
      <c r="G59" s="142"/>
      <c r="H59" s="143">
        <f>H58/I6</f>
        <v>0.36467702371218313</v>
      </c>
      <c r="I59" s="143">
        <f>I58/I7</f>
        <v>0.36935166994106089</v>
      </c>
      <c r="J59" s="143">
        <f>J58/I8</f>
        <v>0.23921028466483013</v>
      </c>
      <c r="K59" s="143">
        <f>K58/I9</f>
        <v>0.61471230881281869</v>
      </c>
      <c r="L59" s="143">
        <f>L58/I10</f>
        <v>0.77480045610034209</v>
      </c>
      <c r="M59" s="143">
        <f>M58/I11</f>
        <v>0.87064676616915426</v>
      </c>
    </row>
    <row r="60" spans="1:13" ht="12.75" customHeight="1" x14ac:dyDescent="0.2">
      <c r="A60" s="2537" t="s">
        <v>548</v>
      </c>
      <c r="B60" s="58">
        <f>B61*I7</f>
        <v>509</v>
      </c>
      <c r="C60" s="58">
        <f>C61*I7</f>
        <v>305.39999999999998</v>
      </c>
      <c r="D60" s="58">
        <f>D61*I7</f>
        <v>203.60000000000002</v>
      </c>
      <c r="E60" s="100">
        <f>E61*I7</f>
        <v>509</v>
      </c>
      <c r="G60" s="142"/>
      <c r="H60" s="144"/>
      <c r="I60" s="144"/>
      <c r="J60" s="144"/>
      <c r="K60" s="144"/>
      <c r="L60" s="144"/>
      <c r="M60" s="144"/>
    </row>
    <row r="61" spans="1:13" ht="12.75" customHeight="1" x14ac:dyDescent="0.2">
      <c r="A61" s="2537"/>
      <c r="B61" s="115">
        <v>0.25</v>
      </c>
      <c r="C61" s="115">
        <v>0.15</v>
      </c>
      <c r="D61" s="115">
        <v>0.1</v>
      </c>
      <c r="E61" s="116">
        <v>0.25</v>
      </c>
      <c r="G61" s="142" t="s">
        <v>584</v>
      </c>
      <c r="H61" s="29">
        <v>425</v>
      </c>
      <c r="I61" s="29">
        <v>821</v>
      </c>
      <c r="J61" s="29">
        <v>298</v>
      </c>
      <c r="K61" s="29" t="s">
        <v>357</v>
      </c>
      <c r="L61" s="29">
        <v>1349</v>
      </c>
      <c r="M61" s="29">
        <v>746</v>
      </c>
    </row>
    <row r="62" spans="1:13" ht="12.75" customHeight="1" x14ac:dyDescent="0.2">
      <c r="A62" s="2537" t="s">
        <v>549</v>
      </c>
      <c r="B62" s="58">
        <f>B63*I8</f>
        <v>653.4</v>
      </c>
      <c r="C62" s="58">
        <f>C63*I8</f>
        <v>370.26000000000005</v>
      </c>
      <c r="D62" s="58">
        <f>D63*I8</f>
        <v>326.7</v>
      </c>
      <c r="E62" s="100">
        <f>E63*I8</f>
        <v>653.4</v>
      </c>
      <c r="G62" s="144"/>
      <c r="H62" s="143">
        <f>H61/I6</f>
        <v>0.34750613246116108</v>
      </c>
      <c r="I62" s="143">
        <f>I61/I7</f>
        <v>0.4032416502946955</v>
      </c>
      <c r="J62" s="143">
        <f>J61/I8</f>
        <v>0.13682277318640956</v>
      </c>
      <c r="K62" s="143"/>
      <c r="L62" s="143">
        <f>L61/I10</f>
        <v>0.76909920182440139</v>
      </c>
      <c r="M62" s="143">
        <f>M61/I11</f>
        <v>0.74228855721393039</v>
      </c>
    </row>
    <row r="63" spans="1:13" ht="12.75" customHeight="1" x14ac:dyDescent="0.2">
      <c r="A63" s="2537"/>
      <c r="B63" s="115">
        <v>0.3</v>
      </c>
      <c r="C63" s="115">
        <v>0.17</v>
      </c>
      <c r="D63" s="115">
        <v>0.15</v>
      </c>
      <c r="E63" s="116">
        <v>0.3</v>
      </c>
    </row>
    <row r="64" spans="1:13" x14ac:dyDescent="0.2">
      <c r="A64" s="2537" t="s">
        <v>573</v>
      </c>
      <c r="B64" s="58">
        <f>B65*I9</f>
        <v>1035.242</v>
      </c>
      <c r="C64" s="58">
        <f>C65*I9</f>
        <v>823.8</v>
      </c>
      <c r="D64" s="58">
        <f>D65*I9</f>
        <v>549.20000000000005</v>
      </c>
      <c r="E64" s="100">
        <f>E65*I9</f>
        <v>1639.3619999999999</v>
      </c>
    </row>
    <row r="65" spans="1:6" x14ac:dyDescent="0.2">
      <c r="A65" s="2537"/>
      <c r="B65" s="115">
        <v>0.1885</v>
      </c>
      <c r="C65" s="115">
        <v>0.15</v>
      </c>
      <c r="D65" s="115">
        <v>0.1</v>
      </c>
      <c r="E65" s="116">
        <v>0.29849999999999999</v>
      </c>
    </row>
    <row r="66" spans="1:6" x14ac:dyDescent="0.2">
      <c r="A66" s="2537" t="s">
        <v>552</v>
      </c>
      <c r="B66" s="58">
        <f>B67*I10</f>
        <v>438.5</v>
      </c>
      <c r="C66" s="58">
        <f>C67*I10</f>
        <v>350.8</v>
      </c>
      <c r="D66" s="58">
        <f>D67*I10</f>
        <v>212.23399999999998</v>
      </c>
      <c r="E66" s="100">
        <f>E67*I10</f>
        <v>1026.0899999999999</v>
      </c>
    </row>
    <row r="67" spans="1:6" x14ac:dyDescent="0.2">
      <c r="A67" s="2537"/>
      <c r="B67" s="115">
        <v>0.25</v>
      </c>
      <c r="C67" s="115">
        <v>0.2</v>
      </c>
      <c r="D67" s="115">
        <v>0.121</v>
      </c>
      <c r="E67" s="116">
        <v>0.58499999999999996</v>
      </c>
    </row>
    <row r="68" spans="1:6" x14ac:dyDescent="0.2">
      <c r="A68" s="2537" t="s">
        <v>553</v>
      </c>
      <c r="B68" s="58">
        <f>B69*I11</f>
        <v>502.5</v>
      </c>
      <c r="C68" s="58">
        <f>C69*I11</f>
        <v>452.25</v>
      </c>
      <c r="D68" s="58">
        <f>D69*I11</f>
        <v>251.25</v>
      </c>
      <c r="E68" s="100">
        <f>E69*I11</f>
        <v>703.5</v>
      </c>
      <c r="F68" s="145"/>
    </row>
    <row r="69" spans="1:6" ht="13.5" thickBot="1" x14ac:dyDescent="0.25">
      <c r="A69" s="2538"/>
      <c r="B69" s="128">
        <v>0.5</v>
      </c>
      <c r="C69" s="128">
        <v>0.45</v>
      </c>
      <c r="D69" s="128">
        <v>0.25</v>
      </c>
      <c r="E69" s="129">
        <v>0.7</v>
      </c>
    </row>
  </sheetData>
  <mergeCells count="42">
    <mergeCell ref="B55:C55"/>
    <mergeCell ref="D55:E55"/>
    <mergeCell ref="A43:A44"/>
    <mergeCell ref="A45:A46"/>
    <mergeCell ref="A47:A48"/>
    <mergeCell ref="A49:A50"/>
    <mergeCell ref="A51:A52"/>
    <mergeCell ref="A33:A34"/>
    <mergeCell ref="B37:D37"/>
    <mergeCell ref="E37:G37"/>
    <mergeCell ref="A39:A40"/>
    <mergeCell ref="A41:A42"/>
    <mergeCell ref="A25:A26"/>
    <mergeCell ref="G25:L25"/>
    <mergeCell ref="A27:A28"/>
    <mergeCell ref="A29:A30"/>
    <mergeCell ref="A31:A32"/>
    <mergeCell ref="A16:A17"/>
    <mergeCell ref="G16:G17"/>
    <mergeCell ref="B3:C3"/>
    <mergeCell ref="D3:E3"/>
    <mergeCell ref="A23:A24"/>
    <mergeCell ref="A10:A11"/>
    <mergeCell ref="A12:A13"/>
    <mergeCell ref="A14:A15"/>
    <mergeCell ref="G18:G19"/>
    <mergeCell ref="B20:C20"/>
    <mergeCell ref="D20:E20"/>
    <mergeCell ref="G20:G21"/>
    <mergeCell ref="G22:G23"/>
    <mergeCell ref="M3:O3"/>
    <mergeCell ref="P3:R3"/>
    <mergeCell ref="A6:A7"/>
    <mergeCell ref="A8:A9"/>
    <mergeCell ref="K14:L14"/>
    <mergeCell ref="H14:I14"/>
    <mergeCell ref="A68:A69"/>
    <mergeCell ref="A58:A59"/>
    <mergeCell ref="A60:A61"/>
    <mergeCell ref="A62:A63"/>
    <mergeCell ref="A64:A65"/>
    <mergeCell ref="A66:A67"/>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1"/>
  <sheetViews>
    <sheetView workbookViewId="0">
      <pane xSplit="2" topLeftCell="C1" activePane="topRight" state="frozen"/>
      <selection pane="topRight" activeCell="D9" sqref="D9"/>
    </sheetView>
  </sheetViews>
  <sheetFormatPr defaultRowHeight="15" x14ac:dyDescent="0.25"/>
  <cols>
    <col min="1" max="1" width="23.85546875" style="1366" customWidth="1"/>
    <col min="2" max="2" width="42.42578125" style="1366" customWidth="1"/>
    <col min="3" max="3" width="19.42578125" style="1366" customWidth="1"/>
    <col min="4" max="4" width="15.5703125" style="1366" customWidth="1"/>
    <col min="5" max="5" width="17.42578125" style="1366" customWidth="1"/>
    <col min="6" max="6" width="20" style="1366" customWidth="1"/>
    <col min="7" max="7" width="16.5703125" style="1366" customWidth="1"/>
    <col min="8" max="8" width="17.28515625" style="1366" customWidth="1"/>
    <col min="9" max="9" width="18.28515625" style="1366" customWidth="1"/>
    <col min="10" max="10" width="121.85546875" style="1366" customWidth="1"/>
    <col min="11" max="16384" width="9.140625" style="1366"/>
  </cols>
  <sheetData>
    <row r="1" spans="1:10" ht="21" x14ac:dyDescent="0.35">
      <c r="B1" s="2572" t="s">
        <v>1412</v>
      </c>
      <c r="C1" s="2572"/>
      <c r="D1" s="2572"/>
    </row>
    <row r="2" spans="1:10" ht="14.25" customHeight="1" thickBot="1" x14ac:dyDescent="0.3"/>
    <row r="3" spans="1:10" ht="15.75" hidden="1" thickBot="1" x14ac:dyDescent="0.3"/>
    <row r="4" spans="1:10" ht="42.75" customHeight="1" thickBot="1" x14ac:dyDescent="0.4">
      <c r="A4" s="2573"/>
      <c r="B4" s="1398" t="s">
        <v>1413</v>
      </c>
      <c r="C4" s="2575" t="s">
        <v>771</v>
      </c>
      <c r="D4" s="2576"/>
      <c r="E4" s="2576"/>
      <c r="F4" s="2577" t="s">
        <v>772</v>
      </c>
      <c r="G4" s="2578"/>
      <c r="H4" s="2579"/>
      <c r="I4" s="1399" t="s">
        <v>773</v>
      </c>
    </row>
    <row r="5" spans="1:10" ht="26.25" thickBot="1" x14ac:dyDescent="0.3">
      <c r="A5" s="2574"/>
      <c r="B5" s="1400"/>
      <c r="C5" s="1401" t="s">
        <v>774</v>
      </c>
      <c r="D5" s="1401" t="s">
        <v>775</v>
      </c>
      <c r="E5" s="1401" t="s">
        <v>776</v>
      </c>
      <c r="F5" s="1401" t="s">
        <v>777</v>
      </c>
      <c r="G5" s="1401" t="s">
        <v>775</v>
      </c>
      <c r="H5" s="1401" t="s">
        <v>776</v>
      </c>
      <c r="I5" s="1402"/>
      <c r="J5" s="1403" t="s">
        <v>778</v>
      </c>
    </row>
    <row r="6" spans="1:10" ht="16.5" thickBot="1" x14ac:dyDescent="0.3">
      <c r="A6" s="1404" t="s">
        <v>1414</v>
      </c>
      <c r="B6" s="1405" t="s">
        <v>1415</v>
      </c>
      <c r="C6" s="2580" t="s">
        <v>1416</v>
      </c>
      <c r="D6" s="2581"/>
      <c r="E6" s="2582"/>
      <c r="F6" s="2580" t="s">
        <v>1416</v>
      </c>
      <c r="G6" s="2581"/>
      <c r="H6" s="2583"/>
      <c r="I6" s="1406"/>
      <c r="J6" s="1407"/>
    </row>
    <row r="7" spans="1:10" ht="27" customHeight="1" thickBot="1" x14ac:dyDescent="0.3">
      <c r="A7" s="2584" t="s">
        <v>1417</v>
      </c>
      <c r="B7" s="1408" t="s">
        <v>1418</v>
      </c>
      <c r="C7" s="1409">
        <f>D7+E7</f>
        <v>10500</v>
      </c>
      <c r="D7" s="1409">
        <f t="shared" ref="D7:H9" si="0">D13+D17+D21+D25+D29+D33</f>
        <v>3773</v>
      </c>
      <c r="E7" s="1409">
        <f t="shared" si="0"/>
        <v>6727</v>
      </c>
      <c r="F7" s="1410">
        <f t="shared" si="0"/>
        <v>12127</v>
      </c>
      <c r="G7" s="1411">
        <f t="shared" si="0"/>
        <v>5136</v>
      </c>
      <c r="H7" s="1411">
        <f t="shared" si="0"/>
        <v>6991</v>
      </c>
      <c r="I7" s="1412"/>
      <c r="J7" s="1413"/>
    </row>
    <row r="8" spans="1:10" ht="39" thickBot="1" x14ac:dyDescent="0.3">
      <c r="A8" s="2584"/>
      <c r="B8" s="1414" t="s">
        <v>1419</v>
      </c>
      <c r="C8" s="1409">
        <f t="shared" ref="C8:C9" si="1">D8+E8</f>
        <v>10500</v>
      </c>
      <c r="D8" s="1409">
        <f>D14+D18+D22+D26+D30+D34</f>
        <v>3437</v>
      </c>
      <c r="E8" s="1409">
        <f>E14+E18+E22+E26+E30+E34</f>
        <v>7063</v>
      </c>
      <c r="F8" s="1410">
        <f t="shared" si="0"/>
        <v>12127</v>
      </c>
      <c r="G8" s="1415">
        <f>G14+G18+G22+G26+G30+G34</f>
        <v>4507.3</v>
      </c>
      <c r="H8" s="1415">
        <f>H14+H18+H22+H26+H30+H34</f>
        <v>7619.7</v>
      </c>
      <c r="I8" s="1416"/>
      <c r="J8" s="1413"/>
    </row>
    <row r="9" spans="1:10" ht="24" customHeight="1" thickBot="1" x14ac:dyDescent="0.3">
      <c r="A9" s="2585"/>
      <c r="B9" s="1417" t="s">
        <v>1420</v>
      </c>
      <c r="C9" s="1409">
        <f t="shared" si="1"/>
        <v>10500</v>
      </c>
      <c r="D9" s="1409">
        <f>D15+D19+D23+D27+D31+D35</f>
        <v>3786</v>
      </c>
      <c r="E9" s="1409">
        <f>E15+E19+E23+E27+E31+E35</f>
        <v>6714</v>
      </c>
      <c r="F9" s="1409">
        <f t="shared" si="0"/>
        <v>12127</v>
      </c>
      <c r="G9" s="1415">
        <f>G15+G19+G23+G27+G31+G35</f>
        <v>5194</v>
      </c>
      <c r="H9" s="1415">
        <f>H15+H19+H23+H27+H31+H35</f>
        <v>7181</v>
      </c>
      <c r="I9" s="1418"/>
      <c r="J9" s="1413"/>
    </row>
    <row r="10" spans="1:10" ht="27" customHeight="1" thickBot="1" x14ac:dyDescent="0.3">
      <c r="A10" s="1419"/>
      <c r="B10" s="1420" t="s">
        <v>1421</v>
      </c>
      <c r="C10" s="2586" t="s">
        <v>9</v>
      </c>
      <c r="D10" s="2587"/>
      <c r="E10" s="2588"/>
      <c r="F10" s="2586" t="s">
        <v>11</v>
      </c>
      <c r="G10" s="2587"/>
      <c r="H10" s="2588"/>
      <c r="I10" s="1416"/>
      <c r="J10" s="1421"/>
    </row>
    <row r="11" spans="1:10" ht="16.5" thickBot="1" x14ac:dyDescent="0.3">
      <c r="A11" s="1422" t="s">
        <v>1422</v>
      </c>
      <c r="B11" s="1423"/>
      <c r="C11" s="1424"/>
      <c r="D11" s="1424"/>
      <c r="E11" s="1425"/>
      <c r="F11" s="1426"/>
      <c r="G11" s="1427"/>
      <c r="H11" s="1427"/>
      <c r="I11" s="1406"/>
      <c r="J11" s="1428"/>
    </row>
    <row r="12" spans="1:10" ht="16.5" thickBot="1" x14ac:dyDescent="0.3">
      <c r="A12" s="2589" t="s">
        <v>552</v>
      </c>
      <c r="B12" s="1429" t="s">
        <v>552</v>
      </c>
      <c r="C12" s="1430"/>
      <c r="D12" s="1430"/>
      <c r="E12" s="1431"/>
      <c r="F12" s="1432" t="s">
        <v>216</v>
      </c>
      <c r="G12" s="1432"/>
      <c r="H12" s="1432"/>
      <c r="I12" s="1433">
        <v>0</v>
      </c>
      <c r="J12" s="2592" t="s">
        <v>1423</v>
      </c>
    </row>
    <row r="13" spans="1:10" ht="20.25" customHeight="1" thickBot="1" x14ac:dyDescent="0.3">
      <c r="A13" s="2590"/>
      <c r="B13" s="1434" t="s">
        <v>779</v>
      </c>
      <c r="C13" s="1435">
        <v>989</v>
      </c>
      <c r="D13" s="1436">
        <v>860</v>
      </c>
      <c r="E13" s="1435">
        <v>229</v>
      </c>
      <c r="F13" s="1435">
        <v>1485</v>
      </c>
      <c r="G13" s="1436">
        <v>886</v>
      </c>
      <c r="H13" s="1435">
        <f>F13-G13</f>
        <v>599</v>
      </c>
      <c r="I13" s="1437"/>
      <c r="J13" s="2560"/>
    </row>
    <row r="14" spans="1:10" ht="22.5" customHeight="1" thickBot="1" x14ac:dyDescent="0.3">
      <c r="A14" s="2590"/>
      <c r="B14" s="1438" t="s">
        <v>780</v>
      </c>
      <c r="C14" s="1439">
        <v>989</v>
      </c>
      <c r="D14" s="1440">
        <v>800</v>
      </c>
      <c r="E14" s="1439">
        <v>289</v>
      </c>
      <c r="F14" s="1439">
        <v>1485</v>
      </c>
      <c r="G14" s="1440">
        <v>816</v>
      </c>
      <c r="H14" s="1439">
        <f t="shared" ref="H14:H15" si="2">F14-G14</f>
        <v>669</v>
      </c>
      <c r="I14" s="1441"/>
      <c r="J14" s="2560"/>
    </row>
    <row r="15" spans="1:10" ht="36" customHeight="1" thickBot="1" x14ac:dyDescent="0.3">
      <c r="A15" s="2591"/>
      <c r="B15" s="1438" t="s">
        <v>781</v>
      </c>
      <c r="C15" s="1439">
        <v>989</v>
      </c>
      <c r="D15" s="1440">
        <v>860</v>
      </c>
      <c r="E15" s="1439">
        <v>229</v>
      </c>
      <c r="F15" s="1439">
        <v>1485</v>
      </c>
      <c r="G15" s="1440">
        <v>886</v>
      </c>
      <c r="H15" s="1439">
        <f t="shared" si="2"/>
        <v>599</v>
      </c>
      <c r="I15" s="1441"/>
      <c r="J15" s="2561"/>
    </row>
    <row r="16" spans="1:10" ht="20.25" customHeight="1" thickBot="1" x14ac:dyDescent="0.3">
      <c r="A16" s="2570" t="s">
        <v>547</v>
      </c>
      <c r="B16" s="1442" t="s">
        <v>547</v>
      </c>
      <c r="C16" s="1443"/>
      <c r="D16" s="1444"/>
      <c r="E16" s="1444"/>
      <c r="F16" s="1445"/>
      <c r="G16" s="1445"/>
      <c r="H16" s="1445"/>
      <c r="I16" s="1446">
        <v>627</v>
      </c>
      <c r="J16" s="2559" t="s">
        <v>1424</v>
      </c>
    </row>
    <row r="17" spans="1:10" ht="23.25" customHeight="1" thickBot="1" x14ac:dyDescent="0.3">
      <c r="A17" s="2571"/>
      <c r="B17" s="1447" t="s">
        <v>779</v>
      </c>
      <c r="C17" s="1448">
        <v>526</v>
      </c>
      <c r="D17" s="1448">
        <v>317</v>
      </c>
      <c r="E17" s="1448">
        <f>C17-D17</f>
        <v>209</v>
      </c>
      <c r="F17" s="1449">
        <v>626</v>
      </c>
      <c r="G17" s="1450">
        <v>480</v>
      </c>
      <c r="H17" s="1449">
        <f>F17-G17</f>
        <v>146</v>
      </c>
      <c r="I17" s="1446"/>
      <c r="J17" s="2560"/>
    </row>
    <row r="18" spans="1:10" ht="29.25" customHeight="1" thickBot="1" x14ac:dyDescent="0.3">
      <c r="A18" s="2571"/>
      <c r="B18" s="1447" t="s">
        <v>780</v>
      </c>
      <c r="C18" s="1448">
        <v>526</v>
      </c>
      <c r="D18" s="1448">
        <v>305</v>
      </c>
      <c r="E18" s="1448">
        <f t="shared" ref="E18:E19" si="3">C18-D18</f>
        <v>221</v>
      </c>
      <c r="F18" s="1449">
        <v>626</v>
      </c>
      <c r="G18" s="1450">
        <v>470</v>
      </c>
      <c r="H18" s="1449">
        <f t="shared" ref="H18:H19" si="4">F18-G18</f>
        <v>156</v>
      </c>
      <c r="I18" s="1451"/>
      <c r="J18" s="2560"/>
    </row>
    <row r="19" spans="1:10" ht="29.25" customHeight="1" thickBot="1" x14ac:dyDescent="0.3">
      <c r="A19" s="2571"/>
      <c r="B19" s="1447" t="s">
        <v>781</v>
      </c>
      <c r="C19" s="1448">
        <v>526</v>
      </c>
      <c r="D19" s="1448">
        <v>317</v>
      </c>
      <c r="E19" s="1448">
        <f t="shared" si="3"/>
        <v>209</v>
      </c>
      <c r="F19" s="1449">
        <v>626</v>
      </c>
      <c r="G19" s="1450">
        <v>470</v>
      </c>
      <c r="H19" s="1449">
        <f t="shared" si="4"/>
        <v>156</v>
      </c>
      <c r="I19" s="1451"/>
      <c r="J19" s="2561"/>
    </row>
    <row r="20" spans="1:10" ht="19.5" customHeight="1" thickBot="1" x14ac:dyDescent="0.3">
      <c r="A20" s="2562" t="s">
        <v>553</v>
      </c>
      <c r="B20" s="1429" t="s">
        <v>782</v>
      </c>
      <c r="C20" s="1452"/>
      <c r="D20" s="1430"/>
      <c r="E20" s="1430"/>
      <c r="F20" s="1453"/>
      <c r="G20" s="1453"/>
      <c r="H20" s="1453"/>
      <c r="I20" s="1454">
        <v>0</v>
      </c>
      <c r="J20" s="2559" t="s">
        <v>1425</v>
      </c>
    </row>
    <row r="21" spans="1:10" ht="15.75" thickBot="1" x14ac:dyDescent="0.3">
      <c r="A21" s="2563"/>
      <c r="B21" s="1438" t="s">
        <v>779</v>
      </c>
      <c r="C21" s="1455">
        <v>1007</v>
      </c>
      <c r="D21" s="1455">
        <v>852</v>
      </c>
      <c r="E21" s="1455">
        <f>C21-D21</f>
        <v>155</v>
      </c>
      <c r="F21" s="1455">
        <v>1007</v>
      </c>
      <c r="G21" s="1456">
        <v>916</v>
      </c>
      <c r="H21" s="1455">
        <f>F21-G21</f>
        <v>91</v>
      </c>
      <c r="I21" s="1441"/>
      <c r="J21" s="2560"/>
    </row>
    <row r="22" spans="1:10" ht="15.75" thickBot="1" x14ac:dyDescent="0.3">
      <c r="A22" s="2563"/>
      <c r="B22" s="1438" t="s">
        <v>780</v>
      </c>
      <c r="C22" s="1455">
        <v>1007</v>
      </c>
      <c r="D22" s="1455">
        <v>852</v>
      </c>
      <c r="E22" s="1455">
        <f t="shared" ref="E22:E23" si="5">C22-D22</f>
        <v>155</v>
      </c>
      <c r="F22" s="1455">
        <v>1007</v>
      </c>
      <c r="G22" s="1456">
        <v>906.30000000000007</v>
      </c>
      <c r="H22" s="1455">
        <f t="shared" ref="H22:H23" si="6">F22-G22</f>
        <v>100.69999999999993</v>
      </c>
      <c r="I22" s="1441"/>
      <c r="J22" s="2560"/>
    </row>
    <row r="23" spans="1:10" ht="27.75" customHeight="1" thickBot="1" x14ac:dyDescent="0.3">
      <c r="A23" s="2564"/>
      <c r="B23" s="1438" t="s">
        <v>781</v>
      </c>
      <c r="C23" s="1455">
        <v>1007</v>
      </c>
      <c r="D23" s="1455">
        <v>865</v>
      </c>
      <c r="E23" s="1455">
        <f t="shared" si="5"/>
        <v>142</v>
      </c>
      <c r="F23" s="1455">
        <v>1007</v>
      </c>
      <c r="G23" s="1456">
        <v>925</v>
      </c>
      <c r="H23" s="1455">
        <f t="shared" si="6"/>
        <v>82</v>
      </c>
      <c r="I23" s="1441"/>
      <c r="J23" s="2561"/>
    </row>
    <row r="24" spans="1:10" ht="23.25" customHeight="1" thickBot="1" x14ac:dyDescent="0.3">
      <c r="A24" s="2556" t="s">
        <v>573</v>
      </c>
      <c r="B24" s="1442" t="s">
        <v>573</v>
      </c>
      <c r="C24" s="1443"/>
      <c r="D24" s="1444"/>
      <c r="E24" s="1444"/>
      <c r="F24" s="1457"/>
      <c r="G24" s="1457"/>
      <c r="H24" s="1457"/>
      <c r="I24" s="1458">
        <v>0</v>
      </c>
      <c r="J24" s="2559" t="s">
        <v>1426</v>
      </c>
    </row>
    <row r="25" spans="1:10" ht="20.25" customHeight="1" thickBot="1" x14ac:dyDescent="0.3">
      <c r="A25" s="2557"/>
      <c r="B25" s="1447" t="s">
        <v>779</v>
      </c>
      <c r="C25" s="1459">
        <v>5081</v>
      </c>
      <c r="D25" s="1443">
        <v>570</v>
      </c>
      <c r="E25" s="1459">
        <f>C25-D25</f>
        <v>4511</v>
      </c>
      <c r="F25" s="1459">
        <v>5081</v>
      </c>
      <c r="G25" s="1459">
        <v>1184</v>
      </c>
      <c r="H25" s="1459">
        <f>F25-G25</f>
        <v>3897</v>
      </c>
      <c r="I25" s="1446"/>
      <c r="J25" s="2560"/>
    </row>
    <row r="26" spans="1:10" ht="15.75" thickBot="1" x14ac:dyDescent="0.3">
      <c r="A26" s="2557"/>
      <c r="B26" s="1447" t="s">
        <v>780</v>
      </c>
      <c r="C26" s="1459">
        <v>5081</v>
      </c>
      <c r="D26" s="1443">
        <v>472</v>
      </c>
      <c r="E26" s="1459">
        <f t="shared" ref="E26:E27" si="7">C26-D26</f>
        <v>4609</v>
      </c>
      <c r="F26" s="1459">
        <v>5081</v>
      </c>
      <c r="G26" s="1443">
        <v>940</v>
      </c>
      <c r="H26" s="1459">
        <f t="shared" ref="H26:H27" si="8">F26-G26</f>
        <v>4141</v>
      </c>
      <c r="I26" s="1446"/>
      <c r="J26" s="2560"/>
    </row>
    <row r="27" spans="1:10" ht="30.75" customHeight="1" thickBot="1" x14ac:dyDescent="0.3">
      <c r="A27" s="2557"/>
      <c r="B27" s="1447" t="s">
        <v>781</v>
      </c>
      <c r="C27" s="1459">
        <v>5081</v>
      </c>
      <c r="D27" s="1443">
        <v>570</v>
      </c>
      <c r="E27" s="1459">
        <f t="shared" si="7"/>
        <v>4511</v>
      </c>
      <c r="F27" s="1459">
        <v>5081</v>
      </c>
      <c r="G27" s="1459">
        <v>1184</v>
      </c>
      <c r="H27" s="1459">
        <f t="shared" si="8"/>
        <v>3897</v>
      </c>
      <c r="I27" s="1446"/>
      <c r="J27" s="2561"/>
    </row>
    <row r="28" spans="1:10" ht="27" customHeight="1" thickBot="1" x14ac:dyDescent="0.3">
      <c r="A28" s="2565" t="s">
        <v>549</v>
      </c>
      <c r="B28" s="1429" t="s">
        <v>549</v>
      </c>
      <c r="C28" s="1452" t="s">
        <v>216</v>
      </c>
      <c r="D28" s="1430"/>
      <c r="E28" s="1430"/>
      <c r="F28" s="1453"/>
      <c r="G28" s="1453"/>
      <c r="H28" s="1453"/>
      <c r="I28" s="1460">
        <v>1102</v>
      </c>
      <c r="J28" s="2568" t="s">
        <v>1427</v>
      </c>
    </row>
    <row r="29" spans="1:10" ht="24.75" customHeight="1" thickBot="1" x14ac:dyDescent="0.3">
      <c r="A29" s="2566"/>
      <c r="B29" s="1438" t="s">
        <v>779</v>
      </c>
      <c r="C29" s="1455">
        <v>1795</v>
      </c>
      <c r="D29" s="1456">
        <v>663</v>
      </c>
      <c r="E29" s="1455">
        <f>C29-D29</f>
        <v>1132</v>
      </c>
      <c r="F29" s="1461">
        <v>2926</v>
      </c>
      <c r="G29" s="1461">
        <v>930</v>
      </c>
      <c r="H29" s="1461">
        <f>F29-G29</f>
        <v>1996</v>
      </c>
      <c r="I29" s="1460"/>
      <c r="J29" s="2569"/>
    </row>
    <row r="30" spans="1:10" ht="23.25" customHeight="1" thickBot="1" x14ac:dyDescent="0.3">
      <c r="A30" s="2566"/>
      <c r="B30" s="1438" t="s">
        <v>780</v>
      </c>
      <c r="C30" s="1455">
        <v>1795</v>
      </c>
      <c r="D30" s="1456">
        <v>557</v>
      </c>
      <c r="E30" s="1455">
        <f t="shared" ref="E30:E31" si="9">C30-D30</f>
        <v>1238</v>
      </c>
      <c r="F30" s="1461">
        <v>2926</v>
      </c>
      <c r="G30" s="1461">
        <v>677</v>
      </c>
      <c r="H30" s="1461">
        <f t="shared" ref="H30:H31" si="10">F30-G30</f>
        <v>2249</v>
      </c>
      <c r="I30" s="1460"/>
      <c r="J30" s="2569"/>
    </row>
    <row r="31" spans="1:10" ht="30" customHeight="1" thickBot="1" x14ac:dyDescent="0.3">
      <c r="A31" s="2567"/>
      <c r="B31" s="1438" t="s">
        <v>781</v>
      </c>
      <c r="C31" s="1455">
        <v>1795</v>
      </c>
      <c r="D31" s="1456">
        <v>663</v>
      </c>
      <c r="E31" s="1455">
        <f t="shared" si="9"/>
        <v>1132</v>
      </c>
      <c r="F31" s="1461">
        <v>2926</v>
      </c>
      <c r="G31" s="1461">
        <v>930</v>
      </c>
      <c r="H31" s="1461">
        <f t="shared" si="10"/>
        <v>1996</v>
      </c>
      <c r="I31" s="1460"/>
      <c r="J31" s="2569"/>
    </row>
    <row r="32" spans="1:10" ht="24" customHeight="1" thickBot="1" x14ac:dyDescent="0.3">
      <c r="A32" s="2556" t="s">
        <v>548</v>
      </c>
      <c r="B32" s="1442" t="s">
        <v>548</v>
      </c>
      <c r="C32" s="1443"/>
      <c r="D32" s="1444"/>
      <c r="E32" s="1444"/>
      <c r="F32" s="1457"/>
      <c r="G32" s="1457"/>
      <c r="H32" s="1457"/>
      <c r="I32" s="1462"/>
      <c r="J32" s="2559" t="s">
        <v>1428</v>
      </c>
    </row>
    <row r="33" spans="1:10" ht="22.5" customHeight="1" thickBot="1" x14ac:dyDescent="0.3">
      <c r="A33" s="2557"/>
      <c r="B33" s="1447" t="s">
        <v>779</v>
      </c>
      <c r="C33" s="1459">
        <v>1002</v>
      </c>
      <c r="D33" s="1463">
        <v>511</v>
      </c>
      <c r="E33" s="1449">
        <f>C33-D33</f>
        <v>491</v>
      </c>
      <c r="F33" s="1449">
        <v>1002</v>
      </c>
      <c r="G33" s="1449">
        <v>740</v>
      </c>
      <c r="H33" s="1449">
        <f>F33-G33</f>
        <v>262</v>
      </c>
      <c r="I33" s="1464">
        <v>1600</v>
      </c>
      <c r="J33" s="2560"/>
    </row>
    <row r="34" spans="1:10" ht="25.5" customHeight="1" thickBot="1" x14ac:dyDescent="0.3">
      <c r="A34" s="2557"/>
      <c r="B34" s="1447" t="s">
        <v>780</v>
      </c>
      <c r="C34" s="1459">
        <v>1002</v>
      </c>
      <c r="D34" s="1463">
        <v>451</v>
      </c>
      <c r="E34" s="1449">
        <f t="shared" ref="E34:E35" si="11">C34-D34</f>
        <v>551</v>
      </c>
      <c r="F34" s="1449">
        <v>1002</v>
      </c>
      <c r="G34" s="1449">
        <v>698</v>
      </c>
      <c r="H34" s="1449">
        <f>F34-G34</f>
        <v>304</v>
      </c>
      <c r="I34" s="1464">
        <v>1600</v>
      </c>
      <c r="J34" s="2560"/>
    </row>
    <row r="35" spans="1:10" ht="34.5" customHeight="1" thickBot="1" x14ac:dyDescent="0.3">
      <c r="A35" s="2558"/>
      <c r="B35" s="1447" t="s">
        <v>781</v>
      </c>
      <c r="C35" s="1459">
        <v>1002</v>
      </c>
      <c r="D35" s="1463">
        <v>511</v>
      </c>
      <c r="E35" s="1449">
        <f t="shared" si="11"/>
        <v>491</v>
      </c>
      <c r="F35" s="1449">
        <v>1002</v>
      </c>
      <c r="G35" s="1449">
        <v>799</v>
      </c>
      <c r="H35" s="1449">
        <v>451</v>
      </c>
      <c r="I35" s="1464">
        <v>1600</v>
      </c>
      <c r="J35" s="2561"/>
    </row>
    <row r="37" spans="1:10" x14ac:dyDescent="0.25">
      <c r="B37" s="1465" t="s">
        <v>783</v>
      </c>
    </row>
    <row r="38" spans="1:10" x14ac:dyDescent="0.25">
      <c r="B38" s="1466" t="s">
        <v>784</v>
      </c>
    </row>
    <row r="39" spans="1:10" x14ac:dyDescent="0.25">
      <c r="B39" s="1466" t="s">
        <v>785</v>
      </c>
    </row>
    <row r="40" spans="1:10" x14ac:dyDescent="0.25">
      <c r="B40" s="1466" t="s">
        <v>786</v>
      </c>
    </row>
    <row r="41" spans="1:10" x14ac:dyDescent="0.25">
      <c r="B41" s="1466" t="s">
        <v>787</v>
      </c>
    </row>
  </sheetData>
  <mergeCells count="21">
    <mergeCell ref="A16:A19"/>
    <mergeCell ref="J16:J19"/>
    <mergeCell ref="B1:D1"/>
    <mergeCell ref="A4:A5"/>
    <mergeCell ref="C4:E4"/>
    <mergeCell ref="F4:H4"/>
    <mergeCell ref="C6:E6"/>
    <mergeCell ref="F6:H6"/>
    <mergeCell ref="A7:A9"/>
    <mergeCell ref="C10:E10"/>
    <mergeCell ref="F10:H10"/>
    <mergeCell ref="A12:A15"/>
    <mergeCell ref="J12:J15"/>
    <mergeCell ref="A32:A35"/>
    <mergeCell ref="J32:J35"/>
    <mergeCell ref="A20:A23"/>
    <mergeCell ref="J20:J23"/>
    <mergeCell ref="A24:A27"/>
    <mergeCell ref="J24:J27"/>
    <mergeCell ref="A28:A31"/>
    <mergeCell ref="J28:J31"/>
  </mergeCells>
  <pageMargins left="0.7" right="0.7" top="0.75" bottom="0.75" header="0.3" footer="0.3"/>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A70"/>
  <sheetViews>
    <sheetView topLeftCell="A57" zoomScale="96" zoomScaleNormal="96" zoomScalePageLayoutView="96" workbookViewId="0">
      <selection activeCell="A27" sqref="A27:XFD27"/>
    </sheetView>
  </sheetViews>
  <sheetFormatPr defaultColWidth="8.85546875" defaultRowHeight="15" x14ac:dyDescent="0.25"/>
  <cols>
    <col min="1" max="1" width="31.7109375" style="1366" customWidth="1"/>
    <col min="2" max="7" width="8.85546875" style="1366"/>
    <col min="8" max="8" width="14.28515625" style="1366" customWidth="1"/>
    <col min="9" max="9" width="3.7109375" style="1366" customWidth="1"/>
    <col min="10" max="10" width="31.7109375" style="1366" customWidth="1"/>
    <col min="11" max="16" width="8.85546875" style="1366"/>
    <col min="17" max="17" width="12.140625" style="1366" customWidth="1"/>
    <col min="18" max="18" width="3.7109375" style="1366" customWidth="1"/>
    <col min="19" max="19" width="31.7109375" style="1366" customWidth="1"/>
    <col min="20" max="26" width="8.85546875" style="1366"/>
    <col min="27" max="27" width="3.7109375" style="1366" customWidth="1"/>
    <col min="28" max="28" width="33.140625" style="1366" customWidth="1"/>
    <col min="29" max="35" width="8.85546875" style="1366"/>
    <col min="36" max="36" width="3.7109375" style="1366" customWidth="1"/>
    <col min="37" max="37" width="33.140625" style="1366" customWidth="1"/>
    <col min="38" max="44" width="8.85546875" style="1366"/>
    <col min="45" max="45" width="4.42578125" style="1366" customWidth="1"/>
    <col min="46" max="46" width="34.7109375" style="1366" customWidth="1"/>
    <col min="47" max="16384" width="8.85546875" style="1366"/>
  </cols>
  <sheetData>
    <row r="1" spans="1:53" x14ac:dyDescent="0.25">
      <c r="B1" s="2593" t="s">
        <v>184</v>
      </c>
      <c r="C1" s="2593"/>
      <c r="D1" s="2593"/>
      <c r="E1" s="2593"/>
      <c r="F1" s="2593"/>
      <c r="G1" s="2593"/>
      <c r="H1" s="2593"/>
      <c r="I1" s="2593"/>
      <c r="J1" s="2593"/>
    </row>
    <row r="2" spans="1:53" ht="15" customHeight="1" x14ac:dyDescent="0.25">
      <c r="B2" s="2594" t="s">
        <v>980</v>
      </c>
      <c r="C2" s="2595"/>
      <c r="D2" s="2595"/>
      <c r="E2" s="2595"/>
      <c r="F2" s="2595"/>
      <c r="G2" s="2595"/>
      <c r="H2" s="2595"/>
      <c r="I2" s="2595"/>
      <c r="J2" s="2595"/>
    </row>
    <row r="3" spans="1:53" x14ac:dyDescent="0.25">
      <c r="B3" s="2594" t="s">
        <v>973</v>
      </c>
      <c r="C3" s="2595"/>
      <c r="D3" s="2595"/>
      <c r="E3" s="2595"/>
      <c r="F3" s="2595"/>
      <c r="G3" s="2595"/>
      <c r="H3" s="2595"/>
      <c r="I3" s="2595"/>
      <c r="J3" s="2595"/>
    </row>
    <row r="4" spans="1:53" x14ac:dyDescent="0.25">
      <c r="B4" s="1367"/>
    </row>
    <row r="6" spans="1:53" x14ac:dyDescent="0.25">
      <c r="A6" s="1366" t="s">
        <v>1320</v>
      </c>
      <c r="I6" s="1368"/>
      <c r="J6" s="1366" t="s">
        <v>1321</v>
      </c>
      <c r="R6" s="1368"/>
      <c r="AA6" s="1368"/>
      <c r="AB6" s="1366" t="s">
        <v>1322</v>
      </c>
      <c r="AJ6" s="1368"/>
      <c r="AK6" s="1366" t="s">
        <v>1323</v>
      </c>
      <c r="AS6" s="1368"/>
    </row>
    <row r="7" spans="1:53" x14ac:dyDescent="0.25">
      <c r="A7" s="1366" t="s">
        <v>1324</v>
      </c>
      <c r="B7" s="1366" t="s">
        <v>1325</v>
      </c>
      <c r="C7" s="1366" t="s">
        <v>789</v>
      </c>
      <c r="D7" s="1366" t="s">
        <v>1326</v>
      </c>
      <c r="E7" s="1366" t="s">
        <v>790</v>
      </c>
      <c r="F7" s="1366" t="s">
        <v>1327</v>
      </c>
      <c r="G7" s="1366" t="s">
        <v>1328</v>
      </c>
      <c r="H7" s="1366" t="s">
        <v>792</v>
      </c>
      <c r="I7" s="1368"/>
      <c r="J7" s="1366" t="s">
        <v>1324</v>
      </c>
      <c r="K7" s="1369" t="s">
        <v>1325</v>
      </c>
      <c r="L7" s="1369" t="s">
        <v>789</v>
      </c>
      <c r="M7" s="1369" t="s">
        <v>1326</v>
      </c>
      <c r="N7" s="1369" t="s">
        <v>790</v>
      </c>
      <c r="O7" s="1369" t="s">
        <v>1327</v>
      </c>
      <c r="P7" s="1369" t="s">
        <v>1328</v>
      </c>
      <c r="Q7" s="1366" t="s">
        <v>792</v>
      </c>
      <c r="R7" s="1368"/>
      <c r="S7" s="1366" t="s">
        <v>1329</v>
      </c>
      <c r="T7" s="1366" t="s">
        <v>1330</v>
      </c>
      <c r="U7" s="1366" t="s">
        <v>1331</v>
      </c>
      <c r="V7" s="1366" t="s">
        <v>1332</v>
      </c>
      <c r="W7" s="1366" t="s">
        <v>1333</v>
      </c>
      <c r="X7" s="1366" t="s">
        <v>1334</v>
      </c>
      <c r="Y7" s="1366" t="s">
        <v>1335</v>
      </c>
      <c r="Z7" s="1366" t="s">
        <v>792</v>
      </c>
      <c r="AA7" s="1368"/>
      <c r="AB7" s="1366" t="s">
        <v>1324</v>
      </c>
      <c r="AC7" s="1366" t="s">
        <v>1325</v>
      </c>
      <c r="AD7" s="1366" t="s">
        <v>789</v>
      </c>
      <c r="AE7" s="1366" t="s">
        <v>1326</v>
      </c>
      <c r="AF7" s="1366" t="s">
        <v>790</v>
      </c>
      <c r="AG7" s="1366" t="s">
        <v>1327</v>
      </c>
      <c r="AH7" s="1366" t="s">
        <v>1328</v>
      </c>
      <c r="AI7" s="1366" t="s">
        <v>792</v>
      </c>
      <c r="AJ7" s="1368"/>
      <c r="AK7" s="1366" t="s">
        <v>1324</v>
      </c>
      <c r="AL7" s="1366" t="s">
        <v>1330</v>
      </c>
      <c r="AM7" s="1366" t="s">
        <v>1331</v>
      </c>
      <c r="AN7" s="1366" t="s">
        <v>1332</v>
      </c>
      <c r="AO7" s="1366" t="s">
        <v>1333</v>
      </c>
      <c r="AP7" s="1366" t="s">
        <v>1334</v>
      </c>
      <c r="AQ7" s="1366" t="s">
        <v>1335</v>
      </c>
      <c r="AR7" s="1366" t="s">
        <v>792</v>
      </c>
      <c r="AS7" s="1368"/>
      <c r="AT7" s="1370" t="s">
        <v>1336</v>
      </c>
      <c r="AU7" s="1370" t="s">
        <v>1325</v>
      </c>
      <c r="AV7" s="1370" t="s">
        <v>789</v>
      </c>
      <c r="AW7" s="1370" t="s">
        <v>1326</v>
      </c>
      <c r="AX7" s="1370" t="s">
        <v>790</v>
      </c>
      <c r="AY7" s="1370" t="s">
        <v>1327</v>
      </c>
      <c r="AZ7" s="1370" t="s">
        <v>1328</v>
      </c>
      <c r="BA7" s="1370" t="s">
        <v>792</v>
      </c>
    </row>
    <row r="8" spans="1:53" x14ac:dyDescent="0.25">
      <c r="A8" s="1366" t="s">
        <v>1337</v>
      </c>
      <c r="B8" s="1366">
        <v>94</v>
      </c>
      <c r="C8" s="1366">
        <v>80</v>
      </c>
      <c r="D8" s="1366">
        <v>98</v>
      </c>
      <c r="E8" s="1366">
        <v>67</v>
      </c>
      <c r="F8" s="1366">
        <v>68</v>
      </c>
      <c r="G8" s="1366">
        <v>55</v>
      </c>
      <c r="H8" s="1366">
        <v>462</v>
      </c>
      <c r="I8" s="1368"/>
      <c r="J8" s="1366" t="s">
        <v>1337</v>
      </c>
      <c r="K8" s="1369">
        <v>19</v>
      </c>
      <c r="L8" s="1369">
        <v>20</v>
      </c>
      <c r="M8" s="1369">
        <v>8</v>
      </c>
      <c r="N8" s="1369">
        <v>13</v>
      </c>
      <c r="O8" s="1369">
        <v>26</v>
      </c>
      <c r="P8" s="1369">
        <v>25</v>
      </c>
      <c r="Q8" s="1366">
        <f>SUM(K8:P8)</f>
        <v>111</v>
      </c>
      <c r="R8" s="1368"/>
      <c r="S8" s="1366" t="s">
        <v>1337</v>
      </c>
      <c r="T8" s="1366">
        <v>19</v>
      </c>
      <c r="U8" s="1366">
        <v>12</v>
      </c>
      <c r="V8" s="1366">
        <v>9</v>
      </c>
      <c r="W8" s="1366">
        <v>13</v>
      </c>
      <c r="X8" s="1366">
        <v>10</v>
      </c>
      <c r="Y8" s="1366">
        <v>20</v>
      </c>
      <c r="Z8" s="1366">
        <v>83</v>
      </c>
      <c r="AA8" s="1368"/>
      <c r="AB8" s="1366" t="s">
        <v>1337</v>
      </c>
      <c r="AC8" s="1366">
        <v>68</v>
      </c>
      <c r="AD8" s="1366">
        <v>62</v>
      </c>
      <c r="AE8" s="1366">
        <v>48</v>
      </c>
      <c r="AF8" s="1366">
        <v>58</v>
      </c>
      <c r="AG8" s="1366">
        <v>45</v>
      </c>
      <c r="AH8" s="1366">
        <v>30</v>
      </c>
      <c r="AI8" s="1366">
        <v>311</v>
      </c>
      <c r="AJ8" s="1368"/>
      <c r="AK8" s="1366" t="s">
        <v>1337</v>
      </c>
      <c r="AL8" s="1366">
        <v>2</v>
      </c>
      <c r="AM8" s="1366">
        <v>2</v>
      </c>
      <c r="AN8" s="1366">
        <v>2</v>
      </c>
      <c r="AO8" s="1366">
        <v>2</v>
      </c>
      <c r="AP8" s="1366">
        <v>2</v>
      </c>
      <c r="AQ8" s="1366">
        <v>3</v>
      </c>
      <c r="AR8" s="1366">
        <v>13</v>
      </c>
      <c r="AS8" s="1368"/>
      <c r="AT8" s="1370" t="s">
        <v>630</v>
      </c>
      <c r="AU8" s="1370">
        <v>18</v>
      </c>
      <c r="AV8" s="1370">
        <v>18</v>
      </c>
      <c r="AW8" s="1370">
        <v>22</v>
      </c>
      <c r="AX8" s="1370">
        <v>23</v>
      </c>
      <c r="AY8" s="1370">
        <v>24</v>
      </c>
      <c r="AZ8" s="1370">
        <v>13</v>
      </c>
      <c r="BA8" s="1370">
        <v>118</v>
      </c>
    </row>
    <row r="9" spans="1:53" x14ac:dyDescent="0.25">
      <c r="A9" s="1366" t="s">
        <v>706</v>
      </c>
      <c r="B9" s="1366">
        <v>208</v>
      </c>
      <c r="C9" s="1366">
        <v>174</v>
      </c>
      <c r="D9" s="1366">
        <v>231</v>
      </c>
      <c r="E9" s="1366">
        <v>227</v>
      </c>
      <c r="F9" s="1366">
        <v>203</v>
      </c>
      <c r="G9" s="1366">
        <v>192</v>
      </c>
      <c r="H9" s="1366">
        <v>1235</v>
      </c>
      <c r="I9" s="1368"/>
      <c r="J9" s="1366" t="s">
        <v>706</v>
      </c>
      <c r="K9" s="1369">
        <v>44</v>
      </c>
      <c r="L9" s="1369">
        <v>29</v>
      </c>
      <c r="M9" s="1369">
        <v>25</v>
      </c>
      <c r="N9" s="1369">
        <v>29</v>
      </c>
      <c r="O9" s="1369">
        <v>19</v>
      </c>
      <c r="P9" s="1369">
        <v>10</v>
      </c>
      <c r="Q9" s="1366">
        <f t="shared" ref="Q9:Q12" si="0">SUM(K9:P9)</f>
        <v>156</v>
      </c>
      <c r="R9" s="1368"/>
      <c r="S9" s="1366" t="s">
        <v>706</v>
      </c>
      <c r="T9" s="1366">
        <v>117</v>
      </c>
      <c r="U9" s="1366">
        <v>114</v>
      </c>
      <c r="V9" s="1366">
        <v>106</v>
      </c>
      <c r="W9" s="1366">
        <v>113</v>
      </c>
      <c r="X9" s="1366">
        <v>74</v>
      </c>
      <c r="Y9" s="1366">
        <v>60</v>
      </c>
      <c r="Z9" s="1366">
        <v>584</v>
      </c>
      <c r="AA9" s="1368"/>
      <c r="AB9" s="1366" t="s">
        <v>706</v>
      </c>
      <c r="AC9" s="1366">
        <v>82</v>
      </c>
      <c r="AD9" s="1366">
        <v>85</v>
      </c>
      <c r="AE9" s="1366">
        <v>83</v>
      </c>
      <c r="AF9" s="1366">
        <v>67</v>
      </c>
      <c r="AG9" s="1366">
        <v>46</v>
      </c>
      <c r="AH9" s="1366">
        <v>46</v>
      </c>
      <c r="AI9" s="1366">
        <v>409</v>
      </c>
      <c r="AJ9" s="1368"/>
      <c r="AK9" s="1366" t="s">
        <v>706</v>
      </c>
      <c r="AL9" s="1366">
        <v>17</v>
      </c>
      <c r="AM9" s="1366">
        <v>10</v>
      </c>
      <c r="AN9" s="1366">
        <v>7</v>
      </c>
      <c r="AO9" s="1366">
        <v>5</v>
      </c>
      <c r="AP9" s="1366">
        <v>2</v>
      </c>
      <c r="AQ9" s="1366">
        <v>4</v>
      </c>
      <c r="AR9" s="1366">
        <v>45</v>
      </c>
      <c r="AS9" s="1368"/>
      <c r="AT9" s="1370" t="s">
        <v>645</v>
      </c>
      <c r="AU9" s="1370">
        <v>57</v>
      </c>
      <c r="AV9" s="1370">
        <v>63</v>
      </c>
      <c r="AW9" s="1370">
        <v>61</v>
      </c>
      <c r="AX9" s="1370">
        <v>68</v>
      </c>
      <c r="AY9" s="1370">
        <v>54</v>
      </c>
      <c r="AZ9" s="1370">
        <v>66</v>
      </c>
      <c r="BA9" s="1370">
        <v>369</v>
      </c>
    </row>
    <row r="10" spans="1:53" x14ac:dyDescent="0.25">
      <c r="A10" s="1366" t="s">
        <v>1338</v>
      </c>
      <c r="B10" s="1366">
        <v>93</v>
      </c>
      <c r="C10" s="1366">
        <v>128</v>
      </c>
      <c r="D10" s="1366">
        <v>137</v>
      </c>
      <c r="E10" s="1366">
        <v>83</v>
      </c>
      <c r="F10" s="1366">
        <v>77</v>
      </c>
      <c r="G10" s="1366">
        <v>80</v>
      </c>
      <c r="H10" s="1366">
        <v>598</v>
      </c>
      <c r="I10" s="1368"/>
      <c r="J10" s="1366" t="s">
        <v>1338</v>
      </c>
      <c r="K10" s="1369">
        <v>41</v>
      </c>
      <c r="L10" s="1369">
        <v>29</v>
      </c>
      <c r="M10" s="1369">
        <v>34</v>
      </c>
      <c r="N10" s="1369">
        <v>36</v>
      </c>
      <c r="O10" s="1369">
        <v>17</v>
      </c>
      <c r="P10" s="1369">
        <v>11</v>
      </c>
      <c r="Q10" s="1366">
        <f t="shared" si="0"/>
        <v>168</v>
      </c>
      <c r="R10" s="1368"/>
      <c r="S10" s="1366" t="s">
        <v>1338</v>
      </c>
      <c r="T10" s="1366">
        <v>238</v>
      </c>
      <c r="U10" s="1366">
        <v>85</v>
      </c>
      <c r="V10" s="1366">
        <v>73</v>
      </c>
      <c r="W10" s="1366">
        <v>56</v>
      </c>
      <c r="X10" s="1366">
        <v>30</v>
      </c>
      <c r="Y10" s="1366">
        <v>17</v>
      </c>
      <c r="Z10" s="1366">
        <v>499</v>
      </c>
      <c r="AA10" s="1368"/>
      <c r="AB10" s="1366" t="s">
        <v>1338</v>
      </c>
      <c r="AC10" s="1366">
        <v>74</v>
      </c>
      <c r="AD10" s="1366">
        <v>80</v>
      </c>
      <c r="AE10" s="1366">
        <v>50</v>
      </c>
      <c r="AF10" s="1366">
        <v>45</v>
      </c>
      <c r="AG10" s="1366">
        <v>33</v>
      </c>
      <c r="AH10" s="1366">
        <v>31</v>
      </c>
      <c r="AI10" s="1366">
        <v>313</v>
      </c>
      <c r="AJ10" s="1368"/>
      <c r="AK10" s="1366" t="s">
        <v>1338</v>
      </c>
      <c r="AL10" s="1366">
        <v>6</v>
      </c>
      <c r="AM10" s="1366">
        <v>6</v>
      </c>
      <c r="AN10" s="1366">
        <v>6</v>
      </c>
      <c r="AO10" s="1366">
        <v>4</v>
      </c>
      <c r="AP10" s="1366">
        <v>2</v>
      </c>
      <c r="AQ10" s="1366">
        <v>1</v>
      </c>
      <c r="AR10" s="1366">
        <v>25</v>
      </c>
      <c r="AS10" s="1368"/>
      <c r="AT10" s="1370" t="s">
        <v>675</v>
      </c>
      <c r="AU10" s="1370">
        <v>27</v>
      </c>
      <c r="AV10" s="1370">
        <v>31</v>
      </c>
      <c r="AW10" s="1370">
        <v>33</v>
      </c>
      <c r="AX10" s="1370">
        <v>36</v>
      </c>
      <c r="AY10" s="1370">
        <v>21</v>
      </c>
      <c r="AZ10" s="1370">
        <v>14</v>
      </c>
      <c r="BA10" s="1370">
        <v>162</v>
      </c>
    </row>
    <row r="11" spans="1:53" x14ac:dyDescent="0.25">
      <c r="A11" s="1366" t="s">
        <v>1339</v>
      </c>
      <c r="B11" s="1366">
        <v>191</v>
      </c>
      <c r="C11" s="1366">
        <v>267</v>
      </c>
      <c r="D11" s="1366">
        <v>314</v>
      </c>
      <c r="E11" s="1366">
        <v>238</v>
      </c>
      <c r="F11" s="1366">
        <v>154</v>
      </c>
      <c r="G11" s="1366">
        <v>116</v>
      </c>
      <c r="H11" s="1366">
        <v>1280</v>
      </c>
      <c r="I11" s="1368"/>
      <c r="J11" s="1366" t="s">
        <v>1339</v>
      </c>
      <c r="K11" s="1369">
        <v>33</v>
      </c>
      <c r="L11" s="1369">
        <v>23</v>
      </c>
      <c r="M11" s="1369">
        <v>17</v>
      </c>
      <c r="N11" s="1369">
        <v>21</v>
      </c>
      <c r="O11" s="1369">
        <v>19</v>
      </c>
      <c r="P11" s="1369">
        <v>18</v>
      </c>
      <c r="Q11" s="1366">
        <f t="shared" si="0"/>
        <v>131</v>
      </c>
      <c r="R11" s="1368"/>
      <c r="S11" s="1366" t="s">
        <v>1339</v>
      </c>
      <c r="T11" s="1366">
        <v>49</v>
      </c>
      <c r="U11" s="1366">
        <v>23</v>
      </c>
      <c r="V11" s="1366">
        <v>28</v>
      </c>
      <c r="W11" s="1366">
        <v>26</v>
      </c>
      <c r="X11" s="1366">
        <v>21</v>
      </c>
      <c r="Y11" s="1366">
        <v>17</v>
      </c>
      <c r="Z11" s="1366">
        <v>164</v>
      </c>
      <c r="AA11" s="1368"/>
      <c r="AB11" s="1366" t="s">
        <v>1339</v>
      </c>
      <c r="AC11" s="1366">
        <v>151</v>
      </c>
      <c r="AD11" s="1366">
        <v>199</v>
      </c>
      <c r="AE11" s="1366">
        <v>210</v>
      </c>
      <c r="AF11" s="1366">
        <v>152</v>
      </c>
      <c r="AG11" s="1366">
        <v>119</v>
      </c>
      <c r="AH11" s="1366">
        <v>97</v>
      </c>
      <c r="AI11" s="1366">
        <v>928</v>
      </c>
      <c r="AJ11" s="1368"/>
      <c r="AK11" s="1366" t="s">
        <v>1339</v>
      </c>
      <c r="AL11" s="1366">
        <v>24</v>
      </c>
      <c r="AM11" s="1366">
        <v>19</v>
      </c>
      <c r="AN11" s="1366">
        <v>24</v>
      </c>
      <c r="AO11" s="1366">
        <v>15</v>
      </c>
      <c r="AP11" s="1366">
        <v>15</v>
      </c>
      <c r="AQ11" s="1366">
        <v>8</v>
      </c>
      <c r="AR11" s="1366">
        <v>105</v>
      </c>
      <c r="AS11" s="1368"/>
      <c r="AT11" s="1370" t="s">
        <v>660</v>
      </c>
      <c r="AU11" s="1370">
        <v>228</v>
      </c>
      <c r="AV11" s="1370">
        <v>294</v>
      </c>
      <c r="AW11" s="1370">
        <v>310</v>
      </c>
      <c r="AX11" s="1370">
        <v>315</v>
      </c>
      <c r="AY11" s="1370">
        <v>257</v>
      </c>
      <c r="AZ11" s="1370">
        <v>239</v>
      </c>
      <c r="BA11" s="1370">
        <v>1643</v>
      </c>
    </row>
    <row r="12" spans="1:53" x14ac:dyDescent="0.25">
      <c r="A12" s="1366" t="s">
        <v>792</v>
      </c>
      <c r="B12" s="1366">
        <v>586</v>
      </c>
      <c r="C12" s="1366">
        <v>649</v>
      </c>
      <c r="D12" s="1366">
        <v>780</v>
      </c>
      <c r="E12" s="1366">
        <v>615</v>
      </c>
      <c r="F12" s="1366">
        <v>502</v>
      </c>
      <c r="G12" s="1366">
        <v>443</v>
      </c>
      <c r="H12" s="1366">
        <v>5294</v>
      </c>
      <c r="I12" s="1368"/>
      <c r="J12" s="1366" t="s">
        <v>792</v>
      </c>
      <c r="K12" s="1369">
        <v>137</v>
      </c>
      <c r="L12" s="1369">
        <v>101</v>
      </c>
      <c r="M12" s="1369">
        <v>84</v>
      </c>
      <c r="N12" s="1369">
        <v>99</v>
      </c>
      <c r="O12" s="1369">
        <v>81</v>
      </c>
      <c r="P12" s="1369">
        <v>64</v>
      </c>
      <c r="Q12" s="1366">
        <f t="shared" si="0"/>
        <v>566</v>
      </c>
      <c r="R12" s="1368"/>
      <c r="S12" s="1366" t="s">
        <v>792</v>
      </c>
      <c r="T12" s="1366">
        <v>423</v>
      </c>
      <c r="U12" s="1366">
        <v>234</v>
      </c>
      <c r="V12" s="1366">
        <v>216</v>
      </c>
      <c r="W12" s="1366">
        <v>208</v>
      </c>
      <c r="X12" s="1366">
        <v>135</v>
      </c>
      <c r="Y12" s="1366">
        <v>114</v>
      </c>
      <c r="Z12" s="1366">
        <v>1330</v>
      </c>
      <c r="AA12" s="1368"/>
      <c r="AB12" s="1366" t="s">
        <v>792</v>
      </c>
      <c r="AC12" s="1366">
        <v>375</v>
      </c>
      <c r="AD12" s="1366">
        <v>426</v>
      </c>
      <c r="AE12" s="1366">
        <v>391</v>
      </c>
      <c r="AF12" s="1366">
        <v>322</v>
      </c>
      <c r="AG12" s="1366">
        <v>243</v>
      </c>
      <c r="AH12" s="1366">
        <v>204</v>
      </c>
      <c r="AI12" s="1366">
        <v>1961</v>
      </c>
      <c r="AJ12" s="1368"/>
      <c r="AK12" s="1366" t="s">
        <v>792</v>
      </c>
      <c r="AL12" s="1366">
        <v>49</v>
      </c>
      <c r="AM12" s="1366">
        <v>37</v>
      </c>
      <c r="AN12" s="1366">
        <v>39</v>
      </c>
      <c r="AO12" s="1366">
        <v>26</v>
      </c>
      <c r="AP12" s="1366">
        <v>21</v>
      </c>
      <c r="AQ12" s="1366">
        <v>16</v>
      </c>
      <c r="AR12" s="1366">
        <v>188</v>
      </c>
      <c r="AS12" s="1368"/>
      <c r="AT12" s="1370" t="s">
        <v>792</v>
      </c>
      <c r="AU12" s="1370">
        <v>330</v>
      </c>
      <c r="AV12" s="1370">
        <v>406</v>
      </c>
      <c r="AW12" s="1370">
        <v>426</v>
      </c>
      <c r="AX12" s="1370">
        <v>442</v>
      </c>
      <c r="AY12" s="1370">
        <v>356</v>
      </c>
      <c r="AZ12" s="1370">
        <v>332</v>
      </c>
      <c r="BA12" s="1370">
        <v>2292</v>
      </c>
    </row>
    <row r="13" spans="1:53" x14ac:dyDescent="0.25">
      <c r="I13" s="1368"/>
      <c r="R13" s="1368"/>
      <c r="AA13" s="1368"/>
      <c r="AJ13" s="1368"/>
      <c r="AS13" s="1368"/>
      <c r="AT13" s="1370"/>
      <c r="AU13" s="1370"/>
      <c r="AV13" s="1370"/>
      <c r="AW13" s="1370"/>
      <c r="AX13" s="1370"/>
      <c r="AY13" s="1370"/>
      <c r="AZ13" s="1370"/>
      <c r="BA13" s="1370"/>
    </row>
    <row r="14" spans="1:53" x14ac:dyDescent="0.25">
      <c r="A14" s="1366" t="s">
        <v>1340</v>
      </c>
      <c r="I14" s="1368"/>
      <c r="J14" s="1366" t="s">
        <v>1341</v>
      </c>
      <c r="R14" s="1368"/>
      <c r="AA14" s="1368"/>
      <c r="AB14" s="1366" t="s">
        <v>1342</v>
      </c>
      <c r="AJ14" s="1368"/>
      <c r="AK14" s="1366" t="s">
        <v>1343</v>
      </c>
      <c r="AS14" s="1368"/>
      <c r="AT14" s="1370"/>
      <c r="AU14" s="1370"/>
      <c r="AV14" s="1370"/>
      <c r="AW14" s="1370"/>
      <c r="AX14" s="1370"/>
      <c r="AY14" s="1370"/>
      <c r="AZ14" s="1370"/>
      <c r="BA14" s="1370"/>
    </row>
    <row r="15" spans="1:53" x14ac:dyDescent="0.25">
      <c r="A15" s="1366" t="s">
        <v>1324</v>
      </c>
      <c r="B15" s="1366" t="s">
        <v>1325</v>
      </c>
      <c r="C15" s="1366" t="s">
        <v>789</v>
      </c>
      <c r="D15" s="1366" t="s">
        <v>1326</v>
      </c>
      <c r="E15" s="1366" t="s">
        <v>790</v>
      </c>
      <c r="F15" s="1366" t="s">
        <v>1327</v>
      </c>
      <c r="G15" s="1366" t="s">
        <v>1328</v>
      </c>
      <c r="H15" s="1366" t="s">
        <v>792</v>
      </c>
      <c r="I15" s="1368"/>
      <c r="J15" s="1366" t="s">
        <v>1324</v>
      </c>
      <c r="K15" s="1366" t="s">
        <v>1325</v>
      </c>
      <c r="L15" s="1366" t="s">
        <v>789</v>
      </c>
      <c r="M15" s="1366" t="s">
        <v>1326</v>
      </c>
      <c r="N15" s="1366" t="s">
        <v>790</v>
      </c>
      <c r="O15" s="1366" t="s">
        <v>1327</v>
      </c>
      <c r="P15" s="1366" t="s">
        <v>1328</v>
      </c>
      <c r="Q15" s="1366" t="s">
        <v>792</v>
      </c>
      <c r="R15" s="1368"/>
      <c r="S15" s="1366" t="s">
        <v>1344</v>
      </c>
      <c r="T15" s="1366" t="s">
        <v>1330</v>
      </c>
      <c r="U15" s="1366" t="s">
        <v>1331</v>
      </c>
      <c r="V15" s="1366" t="s">
        <v>1332</v>
      </c>
      <c r="W15" s="1366" t="s">
        <v>1333</v>
      </c>
      <c r="X15" s="1366" t="s">
        <v>1334</v>
      </c>
      <c r="Y15" s="1366" t="s">
        <v>1335</v>
      </c>
      <c r="Z15" s="1366" t="s">
        <v>792</v>
      </c>
      <c r="AA15" s="1368"/>
      <c r="AB15" s="1366" t="s">
        <v>1324</v>
      </c>
      <c r="AC15" s="1366" t="s">
        <v>1325</v>
      </c>
      <c r="AD15" s="1366" t="s">
        <v>789</v>
      </c>
      <c r="AE15" s="1366" t="s">
        <v>1326</v>
      </c>
      <c r="AF15" s="1366" t="s">
        <v>790</v>
      </c>
      <c r="AG15" s="1366" t="s">
        <v>1327</v>
      </c>
      <c r="AH15" s="1366" t="s">
        <v>1328</v>
      </c>
      <c r="AI15" s="1366" t="s">
        <v>792</v>
      </c>
      <c r="AJ15" s="1368"/>
      <c r="AK15" s="1366" t="s">
        <v>1324</v>
      </c>
      <c r="AL15" s="1366" t="s">
        <v>1330</v>
      </c>
      <c r="AM15" s="1366" t="s">
        <v>1331</v>
      </c>
      <c r="AN15" s="1366" t="s">
        <v>1332</v>
      </c>
      <c r="AO15" s="1366" t="s">
        <v>1333</v>
      </c>
      <c r="AP15" s="1366" t="s">
        <v>1334</v>
      </c>
      <c r="AQ15" s="1366" t="s">
        <v>1335</v>
      </c>
      <c r="AR15" s="1366" t="s">
        <v>792</v>
      </c>
      <c r="AS15" s="1368"/>
      <c r="AT15" s="1370" t="s">
        <v>1345</v>
      </c>
      <c r="AU15" s="1370" t="s">
        <v>1325</v>
      </c>
      <c r="AV15" s="1370" t="s">
        <v>789</v>
      </c>
      <c r="AW15" s="1370" t="s">
        <v>1326</v>
      </c>
      <c r="AX15" s="1370" t="s">
        <v>790</v>
      </c>
      <c r="AY15" s="1370" t="s">
        <v>1327</v>
      </c>
      <c r="AZ15" s="1370" t="s">
        <v>1328</v>
      </c>
      <c r="BA15" s="1370" t="s">
        <v>792</v>
      </c>
    </row>
    <row r="16" spans="1:53" x14ac:dyDescent="0.25">
      <c r="A16" s="1366" t="s">
        <v>1337</v>
      </c>
      <c r="B16" s="1366">
        <v>76</v>
      </c>
      <c r="C16" s="1366">
        <v>57</v>
      </c>
      <c r="D16" s="1366">
        <v>67</v>
      </c>
      <c r="E16" s="1366">
        <v>53</v>
      </c>
      <c r="F16" s="1366">
        <v>48</v>
      </c>
      <c r="G16" s="1366">
        <v>52</v>
      </c>
      <c r="H16" s="1366">
        <v>353</v>
      </c>
      <c r="I16" s="1368"/>
      <c r="J16" s="1366" t="s">
        <v>1337</v>
      </c>
      <c r="K16" s="1366">
        <v>9</v>
      </c>
      <c r="L16" s="1366">
        <v>15</v>
      </c>
      <c r="M16" s="1366">
        <v>10</v>
      </c>
      <c r="N16" s="1366">
        <v>6</v>
      </c>
      <c r="O16" s="1366">
        <v>16</v>
      </c>
      <c r="P16" s="1366">
        <v>30</v>
      </c>
      <c r="Q16" s="1366">
        <f>SUM(K16:P16)</f>
        <v>86</v>
      </c>
      <c r="R16" s="1368"/>
      <c r="S16" s="1366" t="s">
        <v>1346</v>
      </c>
      <c r="T16" s="1366">
        <v>16</v>
      </c>
      <c r="U16" s="1366">
        <v>17</v>
      </c>
      <c r="V16" s="1366">
        <v>16</v>
      </c>
      <c r="W16" s="1366">
        <v>14</v>
      </c>
      <c r="X16" s="1366">
        <v>16</v>
      </c>
      <c r="Y16" s="1366">
        <v>36</v>
      </c>
      <c r="Z16" s="1366">
        <v>115</v>
      </c>
      <c r="AA16" s="1368"/>
      <c r="AB16" s="1366" t="s">
        <v>1337</v>
      </c>
      <c r="AC16" s="1366">
        <v>61</v>
      </c>
      <c r="AD16" s="1366">
        <v>46</v>
      </c>
      <c r="AE16" s="1366">
        <v>51</v>
      </c>
      <c r="AF16" s="1366">
        <v>32</v>
      </c>
      <c r="AG16" s="1366">
        <v>30</v>
      </c>
      <c r="AH16" s="1366">
        <v>20</v>
      </c>
      <c r="AI16" s="1366">
        <v>240</v>
      </c>
      <c r="AJ16" s="1368"/>
      <c r="AK16" s="1366" t="s">
        <v>1337</v>
      </c>
      <c r="AL16" s="1366">
        <v>1</v>
      </c>
      <c r="AM16" s="1366">
        <v>2</v>
      </c>
      <c r="AN16" s="1366">
        <v>3</v>
      </c>
      <c r="AO16" s="1366">
        <v>2</v>
      </c>
      <c r="AP16" s="1366">
        <v>1</v>
      </c>
      <c r="AQ16" s="1366">
        <v>2</v>
      </c>
      <c r="AR16" s="1366">
        <v>11</v>
      </c>
      <c r="AS16" s="1368"/>
      <c r="AT16" s="1370" t="s">
        <v>631</v>
      </c>
      <c r="AU16" s="1370">
        <v>8</v>
      </c>
      <c r="AV16" s="1370">
        <v>9</v>
      </c>
      <c r="AW16" s="1370">
        <v>14</v>
      </c>
      <c r="AX16" s="1370">
        <v>9</v>
      </c>
      <c r="AY16" s="1370">
        <v>6</v>
      </c>
      <c r="AZ16" s="1370">
        <v>13</v>
      </c>
      <c r="BA16" s="1370">
        <v>59</v>
      </c>
    </row>
    <row r="17" spans="1:53" x14ac:dyDescent="0.25">
      <c r="A17" s="1366" t="s">
        <v>706</v>
      </c>
      <c r="B17" s="1366">
        <v>192</v>
      </c>
      <c r="C17" s="1366">
        <v>198</v>
      </c>
      <c r="D17" s="1366">
        <v>154</v>
      </c>
      <c r="E17" s="1366">
        <v>155</v>
      </c>
      <c r="F17" s="1366">
        <v>172</v>
      </c>
      <c r="G17" s="1366">
        <v>134</v>
      </c>
      <c r="H17" s="1366">
        <v>1005</v>
      </c>
      <c r="I17" s="1368"/>
      <c r="J17" s="1366" t="s">
        <v>706</v>
      </c>
      <c r="K17" s="1366">
        <v>17</v>
      </c>
      <c r="L17" s="1366">
        <v>27</v>
      </c>
      <c r="M17" s="1366">
        <v>35</v>
      </c>
      <c r="N17" s="1366">
        <v>18</v>
      </c>
      <c r="O17" s="1366">
        <v>17</v>
      </c>
      <c r="P17" s="1366">
        <v>7</v>
      </c>
      <c r="Q17" s="1366">
        <f t="shared" ref="Q17:Q20" si="1">SUM(K17:P17)</f>
        <v>121</v>
      </c>
      <c r="R17" s="1368"/>
      <c r="S17" s="1366" t="s">
        <v>1347</v>
      </c>
      <c r="T17" s="1366">
        <v>83</v>
      </c>
      <c r="U17" s="1366">
        <v>91</v>
      </c>
      <c r="V17" s="1366">
        <v>75</v>
      </c>
      <c r="W17" s="1366">
        <v>67</v>
      </c>
      <c r="X17" s="1366">
        <v>55</v>
      </c>
      <c r="Y17" s="1366">
        <v>60</v>
      </c>
      <c r="Z17" s="1366">
        <v>431</v>
      </c>
      <c r="AA17" s="1368"/>
      <c r="AB17" s="1366" t="s">
        <v>706</v>
      </c>
      <c r="AC17" s="1366">
        <v>58</v>
      </c>
      <c r="AD17" s="1366">
        <v>75</v>
      </c>
      <c r="AE17" s="1366">
        <v>64</v>
      </c>
      <c r="AF17" s="1366">
        <v>47</v>
      </c>
      <c r="AG17" s="1366">
        <v>35</v>
      </c>
      <c r="AH17" s="1366">
        <v>22</v>
      </c>
      <c r="AI17" s="1366">
        <v>301</v>
      </c>
      <c r="AJ17" s="1368"/>
      <c r="AK17" s="1366" t="s">
        <v>706</v>
      </c>
      <c r="AL17" s="1366">
        <v>16</v>
      </c>
      <c r="AM17" s="1366">
        <v>5</v>
      </c>
      <c r="AN17" s="1366">
        <v>9</v>
      </c>
      <c r="AO17" s="1366">
        <v>8</v>
      </c>
      <c r="AP17" s="1366">
        <v>6</v>
      </c>
      <c r="AQ17" s="1366">
        <v>0</v>
      </c>
      <c r="AR17" s="1366">
        <v>44</v>
      </c>
      <c r="AS17" s="1368"/>
      <c r="AT17" s="1370" t="s">
        <v>646</v>
      </c>
      <c r="AU17" s="1370">
        <v>23</v>
      </c>
      <c r="AV17" s="1370">
        <v>30</v>
      </c>
      <c r="AW17" s="1370">
        <v>29</v>
      </c>
      <c r="AX17" s="1370">
        <v>32</v>
      </c>
      <c r="AY17" s="1370">
        <v>17</v>
      </c>
      <c r="AZ17" s="1370">
        <v>18</v>
      </c>
      <c r="BA17" s="1370">
        <v>149</v>
      </c>
    </row>
    <row r="18" spans="1:53" x14ac:dyDescent="0.25">
      <c r="A18" s="1366" t="s">
        <v>1338</v>
      </c>
      <c r="B18" s="1366">
        <v>84</v>
      </c>
      <c r="C18" s="1366">
        <v>87</v>
      </c>
      <c r="D18" s="1366">
        <v>90</v>
      </c>
      <c r="E18" s="1366">
        <v>64</v>
      </c>
      <c r="F18" s="1366">
        <v>51</v>
      </c>
      <c r="G18" s="1366">
        <v>61</v>
      </c>
      <c r="H18" s="1366">
        <v>437</v>
      </c>
      <c r="I18" s="1368"/>
      <c r="J18" s="1366" t="s">
        <v>1338</v>
      </c>
      <c r="K18" s="1366">
        <v>36</v>
      </c>
      <c r="L18" s="1366">
        <v>21</v>
      </c>
      <c r="M18" s="1366">
        <v>23</v>
      </c>
      <c r="N18" s="1366">
        <v>23</v>
      </c>
      <c r="O18" s="1366">
        <v>12</v>
      </c>
      <c r="P18" s="1366">
        <v>12</v>
      </c>
      <c r="Q18" s="1366">
        <f t="shared" si="1"/>
        <v>127</v>
      </c>
      <c r="R18" s="1368"/>
      <c r="S18" s="1366" t="s">
        <v>1348</v>
      </c>
      <c r="T18" s="1366">
        <v>143</v>
      </c>
      <c r="U18" s="1366">
        <v>61</v>
      </c>
      <c r="V18" s="1366">
        <v>52</v>
      </c>
      <c r="W18" s="1366">
        <v>48</v>
      </c>
      <c r="X18" s="1366">
        <v>23</v>
      </c>
      <c r="Y18" s="1366">
        <v>14</v>
      </c>
      <c r="Z18" s="1366">
        <v>341</v>
      </c>
      <c r="AA18" s="1368"/>
      <c r="AB18" s="1366" t="s">
        <v>1338</v>
      </c>
      <c r="AC18" s="1366">
        <v>33</v>
      </c>
      <c r="AD18" s="1366">
        <v>51</v>
      </c>
      <c r="AE18" s="1366">
        <v>34</v>
      </c>
      <c r="AF18" s="1366">
        <v>34</v>
      </c>
      <c r="AG18" s="1366">
        <v>37</v>
      </c>
      <c r="AH18" s="1366">
        <v>21</v>
      </c>
      <c r="AI18" s="1366">
        <v>210</v>
      </c>
      <c r="AJ18" s="1368"/>
      <c r="AK18" s="1366" t="s">
        <v>1338</v>
      </c>
      <c r="AL18" s="1366">
        <v>5</v>
      </c>
      <c r="AM18" s="1366">
        <v>2</v>
      </c>
      <c r="AN18" s="1366">
        <v>2</v>
      </c>
      <c r="AO18" s="1366">
        <v>4</v>
      </c>
      <c r="AP18" s="1366">
        <v>2</v>
      </c>
      <c r="AQ18" s="1366">
        <v>0</v>
      </c>
      <c r="AR18" s="1366">
        <v>15</v>
      </c>
      <c r="AS18" s="1368"/>
      <c r="AT18" s="1370" t="s">
        <v>676</v>
      </c>
      <c r="AU18" s="1370">
        <v>12</v>
      </c>
      <c r="AV18" s="1370">
        <v>20</v>
      </c>
      <c r="AW18" s="1370">
        <v>10</v>
      </c>
      <c r="AX18" s="1370">
        <v>19</v>
      </c>
      <c r="AY18" s="1370">
        <v>13</v>
      </c>
      <c r="AZ18" s="1370">
        <v>3</v>
      </c>
      <c r="BA18" s="1370">
        <v>77</v>
      </c>
    </row>
    <row r="19" spans="1:53" x14ac:dyDescent="0.25">
      <c r="A19" s="1366" t="s">
        <v>1339</v>
      </c>
      <c r="B19" s="1366">
        <v>144</v>
      </c>
      <c r="C19" s="1366">
        <v>203</v>
      </c>
      <c r="D19" s="1366">
        <v>276</v>
      </c>
      <c r="E19" s="1366">
        <v>184</v>
      </c>
      <c r="F19" s="1366">
        <v>153</v>
      </c>
      <c r="G19" s="1366">
        <v>76</v>
      </c>
      <c r="H19" s="1366">
        <v>1036</v>
      </c>
      <c r="I19" s="1368"/>
      <c r="J19" s="1366" t="s">
        <v>1339</v>
      </c>
      <c r="K19" s="1366">
        <v>18</v>
      </c>
      <c r="L19" s="1366">
        <v>30</v>
      </c>
      <c r="M19" s="1366">
        <v>20</v>
      </c>
      <c r="N19" s="1366">
        <v>28</v>
      </c>
      <c r="O19" s="1366">
        <v>9</v>
      </c>
      <c r="P19" s="1366">
        <v>14</v>
      </c>
      <c r="Q19" s="1366">
        <f t="shared" si="1"/>
        <v>119</v>
      </c>
      <c r="R19" s="1368"/>
      <c r="S19" s="1366" t="s">
        <v>1349</v>
      </c>
      <c r="T19" s="1366">
        <v>29</v>
      </c>
      <c r="U19" s="1366">
        <v>25</v>
      </c>
      <c r="V19" s="1366">
        <v>15</v>
      </c>
      <c r="W19" s="1366">
        <v>26</v>
      </c>
      <c r="X19" s="1366">
        <v>13</v>
      </c>
      <c r="Y19" s="1366">
        <v>13</v>
      </c>
      <c r="Z19" s="1366">
        <v>121</v>
      </c>
      <c r="AA19" s="1368"/>
      <c r="AB19" s="1366" t="s">
        <v>1339</v>
      </c>
      <c r="AC19" s="1366">
        <v>94</v>
      </c>
      <c r="AD19" s="1366">
        <v>110</v>
      </c>
      <c r="AE19" s="1366">
        <v>150</v>
      </c>
      <c r="AF19" s="1366">
        <v>123</v>
      </c>
      <c r="AG19" s="1366">
        <v>90</v>
      </c>
      <c r="AH19" s="1366">
        <v>66</v>
      </c>
      <c r="AI19" s="1366">
        <v>633</v>
      </c>
      <c r="AJ19" s="1368"/>
      <c r="AK19" s="1366" t="s">
        <v>1339</v>
      </c>
      <c r="AL19" s="1366">
        <v>22</v>
      </c>
      <c r="AM19" s="1366">
        <v>12</v>
      </c>
      <c r="AN19" s="1366">
        <v>9</v>
      </c>
      <c r="AO19" s="1366">
        <v>6</v>
      </c>
      <c r="AP19" s="1366">
        <v>8</v>
      </c>
      <c r="AQ19" s="1366">
        <v>11</v>
      </c>
      <c r="AR19" s="1366">
        <v>68</v>
      </c>
      <c r="AS19" s="1368"/>
      <c r="AT19" s="1370" t="s">
        <v>661</v>
      </c>
      <c r="AU19" s="1370">
        <v>119</v>
      </c>
      <c r="AV19" s="1370">
        <v>121</v>
      </c>
      <c r="AW19" s="1370">
        <v>173</v>
      </c>
      <c r="AX19" s="1370">
        <v>155</v>
      </c>
      <c r="AY19" s="1370">
        <v>172</v>
      </c>
      <c r="AZ19" s="1370">
        <v>152</v>
      </c>
      <c r="BA19" s="1370">
        <v>892</v>
      </c>
    </row>
    <row r="20" spans="1:53" x14ac:dyDescent="0.25">
      <c r="A20" s="1366" t="s">
        <v>792</v>
      </c>
      <c r="B20" s="1366">
        <v>496</v>
      </c>
      <c r="C20" s="1366">
        <v>545</v>
      </c>
      <c r="D20" s="1366">
        <v>587</v>
      </c>
      <c r="E20" s="1366">
        <v>456</v>
      </c>
      <c r="F20" s="1366">
        <v>424</v>
      </c>
      <c r="G20" s="1366">
        <v>323</v>
      </c>
      <c r="H20" s="1366">
        <v>2831</v>
      </c>
      <c r="I20" s="1368"/>
      <c r="J20" s="1366" t="s">
        <v>792</v>
      </c>
      <c r="K20" s="1366">
        <v>80</v>
      </c>
      <c r="L20" s="1366">
        <v>93</v>
      </c>
      <c r="M20" s="1366">
        <v>88</v>
      </c>
      <c r="N20" s="1366">
        <v>75</v>
      </c>
      <c r="O20" s="1366">
        <v>54</v>
      </c>
      <c r="P20" s="1366">
        <v>63</v>
      </c>
      <c r="Q20" s="1366">
        <f t="shared" si="1"/>
        <v>453</v>
      </c>
      <c r="R20" s="1368"/>
      <c r="S20" s="1366" t="s">
        <v>792</v>
      </c>
      <c r="T20" s="1366">
        <v>271</v>
      </c>
      <c r="U20" s="1366">
        <v>194</v>
      </c>
      <c r="V20" s="1366">
        <v>158</v>
      </c>
      <c r="W20" s="1366">
        <v>155</v>
      </c>
      <c r="X20" s="1366">
        <v>107</v>
      </c>
      <c r="Y20" s="1366">
        <v>123</v>
      </c>
      <c r="Z20" s="1366">
        <v>1008</v>
      </c>
      <c r="AA20" s="1368"/>
      <c r="AB20" s="1366" t="s">
        <v>792</v>
      </c>
      <c r="AC20" s="1366">
        <v>246</v>
      </c>
      <c r="AD20" s="1366">
        <v>282</v>
      </c>
      <c r="AE20" s="1366">
        <v>299</v>
      </c>
      <c r="AF20" s="1366">
        <v>236</v>
      </c>
      <c r="AG20" s="1366">
        <v>192</v>
      </c>
      <c r="AH20" s="1366">
        <v>129</v>
      </c>
      <c r="AI20" s="1366">
        <v>1384</v>
      </c>
      <c r="AJ20" s="1368"/>
      <c r="AK20" s="1366" t="s">
        <v>792</v>
      </c>
      <c r="AL20" s="1366">
        <v>44</v>
      </c>
      <c r="AM20" s="1366">
        <v>21</v>
      </c>
      <c r="AN20" s="1366">
        <v>23</v>
      </c>
      <c r="AO20" s="1366">
        <v>20</v>
      </c>
      <c r="AP20" s="1366">
        <v>17</v>
      </c>
      <c r="AQ20" s="1366">
        <v>13</v>
      </c>
      <c r="AR20" s="1366">
        <v>138</v>
      </c>
      <c r="AS20" s="1368"/>
      <c r="AT20" s="1370" t="s">
        <v>792</v>
      </c>
      <c r="AU20" s="1370">
        <v>162</v>
      </c>
      <c r="AV20" s="1370">
        <v>180</v>
      </c>
      <c r="AW20" s="1370">
        <v>226</v>
      </c>
      <c r="AX20" s="1370">
        <v>215</v>
      </c>
      <c r="AY20" s="1370">
        <v>208</v>
      </c>
      <c r="AZ20" s="1370">
        <v>186</v>
      </c>
      <c r="BA20" s="1370">
        <v>1177</v>
      </c>
    </row>
    <row r="21" spans="1:53" x14ac:dyDescent="0.25">
      <c r="I21" s="1368"/>
      <c r="R21" s="1368"/>
      <c r="AA21" s="1368"/>
      <c r="AJ21" s="1368"/>
      <c r="AS21" s="1368"/>
      <c r="AT21" s="1370"/>
      <c r="AU21" s="1370"/>
      <c r="AV21" s="1370"/>
      <c r="AW21" s="1370"/>
      <c r="AX21" s="1370"/>
      <c r="AY21" s="1370"/>
      <c r="AZ21" s="1370"/>
      <c r="BA21" s="1370"/>
    </row>
    <row r="22" spans="1:53" x14ac:dyDescent="0.25">
      <c r="A22" s="1366" t="s">
        <v>1350</v>
      </c>
      <c r="B22" s="1366" t="s">
        <v>1325</v>
      </c>
      <c r="C22" s="1366" t="s">
        <v>789</v>
      </c>
      <c r="D22" s="1366" t="s">
        <v>1326</v>
      </c>
      <c r="E22" s="1366" t="s">
        <v>790</v>
      </c>
      <c r="F22" s="1366" t="s">
        <v>1327</v>
      </c>
      <c r="G22" s="1366" t="s">
        <v>1328</v>
      </c>
      <c r="H22" s="1366" t="s">
        <v>792</v>
      </c>
      <c r="I22" s="1368"/>
      <c r="J22" s="1366" t="s">
        <v>1351</v>
      </c>
      <c r="K22" s="1366" t="s">
        <v>1352</v>
      </c>
      <c r="L22" s="1366" t="s">
        <v>1353</v>
      </c>
      <c r="M22" s="1366" t="s">
        <v>1354</v>
      </c>
      <c r="N22" s="1366" t="s">
        <v>1355</v>
      </c>
      <c r="O22" s="1366" t="s">
        <v>1356</v>
      </c>
      <c r="P22" s="1366" t="s">
        <v>1357</v>
      </c>
      <c r="Q22" s="1366" t="s">
        <v>792</v>
      </c>
      <c r="R22" s="1368"/>
      <c r="S22" s="1366" t="s">
        <v>1358</v>
      </c>
      <c r="T22" s="1366" t="s">
        <v>1352</v>
      </c>
      <c r="U22" s="1366" t="s">
        <v>1353</v>
      </c>
      <c r="V22" s="1366" t="s">
        <v>1354</v>
      </c>
      <c r="W22" s="1366" t="s">
        <v>1355</v>
      </c>
      <c r="X22" s="1366" t="s">
        <v>1356</v>
      </c>
      <c r="Y22" s="1366" t="s">
        <v>1357</v>
      </c>
      <c r="Z22" s="1366" t="s">
        <v>792</v>
      </c>
      <c r="AA22" s="1368"/>
      <c r="AB22" s="1366" t="s">
        <v>1359</v>
      </c>
      <c r="AC22" s="1366" t="s">
        <v>1325</v>
      </c>
      <c r="AD22" s="1366" t="s">
        <v>789</v>
      </c>
      <c r="AE22" s="1366" t="s">
        <v>1326</v>
      </c>
      <c r="AF22" s="1366" t="s">
        <v>790</v>
      </c>
      <c r="AG22" s="1366" t="s">
        <v>1327</v>
      </c>
      <c r="AH22" s="1366" t="s">
        <v>1328</v>
      </c>
      <c r="AI22" s="1366" t="s">
        <v>792</v>
      </c>
      <c r="AJ22" s="1368"/>
      <c r="AK22" s="1366" t="s">
        <v>1360</v>
      </c>
      <c r="AL22" s="1366" t="s">
        <v>1330</v>
      </c>
      <c r="AM22" s="1366" t="s">
        <v>1331</v>
      </c>
      <c r="AN22" s="1366" t="s">
        <v>1332</v>
      </c>
      <c r="AO22" s="1366" t="s">
        <v>1333</v>
      </c>
      <c r="AP22" s="1366" t="s">
        <v>1334</v>
      </c>
      <c r="AQ22" s="1366" t="s">
        <v>1335</v>
      </c>
      <c r="AR22" s="1366" t="s">
        <v>792</v>
      </c>
      <c r="AS22" s="1368"/>
      <c r="AT22" s="1370" t="s">
        <v>1361</v>
      </c>
      <c r="AU22" s="1370" t="s">
        <v>1325</v>
      </c>
      <c r="AV22" s="1370" t="s">
        <v>789</v>
      </c>
      <c r="AW22" s="1370" t="s">
        <v>1326</v>
      </c>
      <c r="AX22" s="1370" t="s">
        <v>790</v>
      </c>
      <c r="AY22" s="1370" t="s">
        <v>1327</v>
      </c>
      <c r="AZ22" s="1370" t="s">
        <v>1328</v>
      </c>
      <c r="BA22" s="1370" t="s">
        <v>792</v>
      </c>
    </row>
    <row r="23" spans="1:53" x14ac:dyDescent="0.25">
      <c r="A23" s="1366" t="s">
        <v>1337</v>
      </c>
      <c r="B23" s="1366">
        <v>170</v>
      </c>
      <c r="C23" s="1366">
        <v>137</v>
      </c>
      <c r="D23" s="1366">
        <v>165</v>
      </c>
      <c r="E23" s="1366">
        <v>120</v>
      </c>
      <c r="F23" s="1366">
        <v>116</v>
      </c>
      <c r="G23" s="1366">
        <v>107</v>
      </c>
      <c r="H23" s="1366">
        <v>815</v>
      </c>
      <c r="I23" s="1368"/>
      <c r="J23" s="1366" t="s">
        <v>1346</v>
      </c>
      <c r="K23" s="1366">
        <v>28</v>
      </c>
      <c r="L23" s="1366">
        <v>35</v>
      </c>
      <c r="M23" s="1366">
        <v>18</v>
      </c>
      <c r="N23" s="1366">
        <v>19</v>
      </c>
      <c r="O23" s="1366">
        <v>42</v>
      </c>
      <c r="P23" s="1366">
        <v>55</v>
      </c>
      <c r="Q23" s="1366">
        <f>SUM(K23:P23)</f>
        <v>197</v>
      </c>
      <c r="R23" s="1368"/>
      <c r="S23" s="1366" t="s">
        <v>1337</v>
      </c>
      <c r="T23" s="1366">
        <v>35</v>
      </c>
      <c r="U23" s="1366">
        <v>29</v>
      </c>
      <c r="V23" s="1366">
        <v>25</v>
      </c>
      <c r="W23" s="1366">
        <v>27</v>
      </c>
      <c r="X23" s="1366">
        <v>26</v>
      </c>
      <c r="Y23" s="1366">
        <v>56</v>
      </c>
      <c r="Z23" s="1366">
        <v>198</v>
      </c>
      <c r="AA23" s="1368"/>
      <c r="AB23" s="1366" t="s">
        <v>1346</v>
      </c>
      <c r="AC23" s="1366">
        <v>129</v>
      </c>
      <c r="AD23" s="1366">
        <v>108</v>
      </c>
      <c r="AE23" s="1366">
        <v>99</v>
      </c>
      <c r="AF23" s="1366">
        <v>90</v>
      </c>
      <c r="AG23" s="1366">
        <v>75</v>
      </c>
      <c r="AH23" s="1366">
        <v>50</v>
      </c>
      <c r="AI23" s="1366">
        <v>551</v>
      </c>
      <c r="AJ23" s="1368"/>
      <c r="AK23" s="1366" t="s">
        <v>1346</v>
      </c>
      <c r="AL23" s="1366">
        <v>3</v>
      </c>
      <c r="AM23" s="1366">
        <v>4</v>
      </c>
      <c r="AN23" s="1366">
        <v>5</v>
      </c>
      <c r="AO23" s="1366">
        <v>4</v>
      </c>
      <c r="AP23" s="1366">
        <v>3</v>
      </c>
      <c r="AQ23" s="1366">
        <v>5</v>
      </c>
      <c r="AR23" s="1366">
        <v>24</v>
      </c>
      <c r="AS23" s="1368"/>
      <c r="AT23" s="1370" t="s">
        <v>705</v>
      </c>
      <c r="AU23" s="1370">
        <v>26</v>
      </c>
      <c r="AV23" s="1370">
        <v>27</v>
      </c>
      <c r="AW23" s="1370">
        <v>36</v>
      </c>
      <c r="AX23" s="1370">
        <v>32</v>
      </c>
      <c r="AY23" s="1370">
        <v>30</v>
      </c>
      <c r="AZ23" s="1370">
        <v>26</v>
      </c>
      <c r="BA23" s="1370">
        <v>177</v>
      </c>
    </row>
    <row r="24" spans="1:53" x14ac:dyDescent="0.25">
      <c r="A24" s="1366" t="s">
        <v>706</v>
      </c>
      <c r="B24" s="1366">
        <v>400</v>
      </c>
      <c r="C24" s="1366">
        <v>372</v>
      </c>
      <c r="D24" s="1366">
        <v>385</v>
      </c>
      <c r="E24" s="1366">
        <v>382</v>
      </c>
      <c r="F24" s="1366">
        <v>375</v>
      </c>
      <c r="G24" s="1366">
        <v>326</v>
      </c>
      <c r="H24" s="1366">
        <v>2240</v>
      </c>
      <c r="I24" s="1368"/>
      <c r="J24" s="1366" t="s">
        <v>1347</v>
      </c>
      <c r="K24" s="1366">
        <v>61</v>
      </c>
      <c r="L24" s="1366">
        <v>56</v>
      </c>
      <c r="M24" s="1366">
        <v>60</v>
      </c>
      <c r="N24" s="1366">
        <v>47</v>
      </c>
      <c r="O24" s="1366">
        <v>36</v>
      </c>
      <c r="P24" s="1366">
        <v>17</v>
      </c>
      <c r="Q24" s="1366">
        <f t="shared" ref="Q24:Q27" si="2">SUM(K24:P24)</f>
        <v>277</v>
      </c>
      <c r="R24" s="1368"/>
      <c r="S24" s="1366" t="s">
        <v>706</v>
      </c>
      <c r="T24" s="1366">
        <v>200</v>
      </c>
      <c r="U24" s="1366">
        <v>205</v>
      </c>
      <c r="V24" s="1366">
        <v>181</v>
      </c>
      <c r="W24" s="1366">
        <v>180</v>
      </c>
      <c r="X24" s="1366">
        <v>129</v>
      </c>
      <c r="Y24" s="1366">
        <v>120</v>
      </c>
      <c r="Z24" s="1366">
        <v>1015</v>
      </c>
      <c r="AA24" s="1368"/>
      <c r="AB24" s="1366" t="s">
        <v>1347</v>
      </c>
      <c r="AC24" s="1366">
        <v>140</v>
      </c>
      <c r="AD24" s="1366">
        <v>160</v>
      </c>
      <c r="AE24" s="1366">
        <v>147</v>
      </c>
      <c r="AF24" s="1366">
        <v>114</v>
      </c>
      <c r="AG24" s="1366">
        <v>81</v>
      </c>
      <c r="AH24" s="1366">
        <v>68</v>
      </c>
      <c r="AI24" s="1366">
        <v>710</v>
      </c>
      <c r="AJ24" s="1368"/>
      <c r="AK24" s="1366" t="s">
        <v>1347</v>
      </c>
      <c r="AL24" s="1366">
        <v>33</v>
      </c>
      <c r="AM24" s="1366">
        <v>15</v>
      </c>
      <c r="AN24" s="1366">
        <v>16</v>
      </c>
      <c r="AO24" s="1366">
        <v>13</v>
      </c>
      <c r="AP24" s="1366">
        <v>8</v>
      </c>
      <c r="AQ24" s="1366">
        <v>4</v>
      </c>
      <c r="AR24" s="1366">
        <v>89</v>
      </c>
      <c r="AS24" s="1368"/>
      <c r="AT24" s="1370" t="s">
        <v>706</v>
      </c>
      <c r="AU24" s="1370">
        <v>80</v>
      </c>
      <c r="AV24" s="1370">
        <v>93</v>
      </c>
      <c r="AW24" s="1370">
        <v>90</v>
      </c>
      <c r="AX24" s="1370">
        <v>100</v>
      </c>
      <c r="AY24" s="1370">
        <v>71</v>
      </c>
      <c r="AZ24" s="1370">
        <v>84</v>
      </c>
      <c r="BA24" s="1370">
        <v>518</v>
      </c>
    </row>
    <row r="25" spans="1:53" x14ac:dyDescent="0.25">
      <c r="A25" s="1366" t="s">
        <v>1338</v>
      </c>
      <c r="B25" s="1366">
        <v>177</v>
      </c>
      <c r="C25" s="1366">
        <v>215</v>
      </c>
      <c r="D25" s="1366">
        <v>227</v>
      </c>
      <c r="E25" s="1366">
        <v>147</v>
      </c>
      <c r="F25" s="1366">
        <v>128</v>
      </c>
      <c r="G25" s="1366">
        <v>141</v>
      </c>
      <c r="H25" s="1366">
        <v>1035</v>
      </c>
      <c r="I25" s="1368"/>
      <c r="J25" s="1366" t="s">
        <v>1348</v>
      </c>
      <c r="K25" s="1366">
        <v>77</v>
      </c>
      <c r="L25" s="1366">
        <v>50</v>
      </c>
      <c r="M25" s="1366">
        <v>57</v>
      </c>
      <c r="N25" s="1366">
        <v>59</v>
      </c>
      <c r="O25" s="1366">
        <v>29</v>
      </c>
      <c r="P25" s="1366">
        <v>23</v>
      </c>
      <c r="Q25" s="1366">
        <f t="shared" si="2"/>
        <v>295</v>
      </c>
      <c r="R25" s="1368"/>
      <c r="S25" s="1366" t="s">
        <v>1338</v>
      </c>
      <c r="T25" s="1366">
        <v>381</v>
      </c>
      <c r="U25" s="1366">
        <v>146</v>
      </c>
      <c r="V25" s="1366">
        <v>125</v>
      </c>
      <c r="W25" s="1366">
        <v>104</v>
      </c>
      <c r="X25" s="1366">
        <v>53</v>
      </c>
      <c r="Y25" s="1366">
        <v>31</v>
      </c>
      <c r="Z25" s="1366">
        <v>840</v>
      </c>
      <c r="AA25" s="1368"/>
      <c r="AB25" s="1366" t="s">
        <v>1348</v>
      </c>
      <c r="AC25" s="1366">
        <v>107</v>
      </c>
      <c r="AD25" s="1366">
        <v>131</v>
      </c>
      <c r="AE25" s="1366">
        <v>84</v>
      </c>
      <c r="AF25" s="1366">
        <v>79</v>
      </c>
      <c r="AG25" s="1366">
        <v>70</v>
      </c>
      <c r="AH25" s="1366">
        <v>52</v>
      </c>
      <c r="AI25" s="1366">
        <v>523</v>
      </c>
      <c r="AJ25" s="1368"/>
      <c r="AK25" s="1366" t="s">
        <v>1348</v>
      </c>
      <c r="AL25" s="1366">
        <v>11</v>
      </c>
      <c r="AM25" s="1366">
        <v>8</v>
      </c>
      <c r="AN25" s="1366">
        <v>8</v>
      </c>
      <c r="AO25" s="1366">
        <v>8</v>
      </c>
      <c r="AP25" s="1366">
        <v>4</v>
      </c>
      <c r="AQ25" s="1366">
        <v>1</v>
      </c>
      <c r="AR25" s="1366">
        <v>40</v>
      </c>
      <c r="AS25" s="1368"/>
      <c r="AT25" s="1370" t="s">
        <v>708</v>
      </c>
      <c r="AU25" s="1370">
        <v>39</v>
      </c>
      <c r="AV25" s="1370">
        <v>51</v>
      </c>
      <c r="AW25" s="1370">
        <v>43</v>
      </c>
      <c r="AX25" s="1370">
        <v>55</v>
      </c>
      <c r="AY25" s="1370">
        <v>34</v>
      </c>
      <c r="AZ25" s="1370">
        <v>17</v>
      </c>
      <c r="BA25" s="1370">
        <v>239</v>
      </c>
    </row>
    <row r="26" spans="1:53" x14ac:dyDescent="0.25">
      <c r="A26" s="1366" t="s">
        <v>1339</v>
      </c>
      <c r="B26" s="1366">
        <v>335</v>
      </c>
      <c r="C26" s="1366">
        <v>470</v>
      </c>
      <c r="D26" s="1366">
        <v>590</v>
      </c>
      <c r="E26" s="1366">
        <v>422</v>
      </c>
      <c r="F26" s="1366">
        <v>307</v>
      </c>
      <c r="G26" s="1366">
        <v>192</v>
      </c>
      <c r="H26" s="1366">
        <v>2316</v>
      </c>
      <c r="I26" s="1368"/>
      <c r="J26" s="1366" t="s">
        <v>1349</v>
      </c>
      <c r="K26" s="1366">
        <v>51</v>
      </c>
      <c r="L26" s="1366">
        <v>53</v>
      </c>
      <c r="M26" s="1366">
        <v>37</v>
      </c>
      <c r="N26" s="1366">
        <v>49</v>
      </c>
      <c r="O26" s="1366">
        <v>28</v>
      </c>
      <c r="P26" s="1366">
        <v>32</v>
      </c>
      <c r="Q26" s="1366">
        <f t="shared" si="2"/>
        <v>250</v>
      </c>
      <c r="R26" s="1368"/>
      <c r="S26" s="1366" t="s">
        <v>1339</v>
      </c>
      <c r="T26" s="1366">
        <v>78</v>
      </c>
      <c r="U26" s="1366">
        <v>48</v>
      </c>
      <c r="V26" s="1366">
        <v>43</v>
      </c>
      <c r="W26" s="1366">
        <v>52</v>
      </c>
      <c r="X26" s="1366">
        <v>34</v>
      </c>
      <c r="Y26" s="1366">
        <v>30</v>
      </c>
      <c r="Z26" s="1366">
        <v>285</v>
      </c>
      <c r="AA26" s="1368"/>
      <c r="AB26" s="1366" t="s">
        <v>1349</v>
      </c>
      <c r="AC26" s="1366">
        <v>245</v>
      </c>
      <c r="AD26" s="1366">
        <v>309</v>
      </c>
      <c r="AE26" s="1366">
        <v>360</v>
      </c>
      <c r="AF26" s="1366">
        <v>275</v>
      </c>
      <c r="AG26" s="1366">
        <v>209</v>
      </c>
      <c r="AH26" s="1366">
        <v>163</v>
      </c>
      <c r="AI26" s="1366">
        <v>1561</v>
      </c>
      <c r="AJ26" s="1368"/>
      <c r="AK26" s="1366" t="s">
        <v>1349</v>
      </c>
      <c r="AL26" s="1366">
        <v>46</v>
      </c>
      <c r="AM26" s="1366">
        <v>31</v>
      </c>
      <c r="AN26" s="1366">
        <v>33</v>
      </c>
      <c r="AO26" s="1366">
        <v>21</v>
      </c>
      <c r="AP26" s="1366">
        <v>23</v>
      </c>
      <c r="AQ26" s="1366">
        <v>19</v>
      </c>
      <c r="AR26" s="1366">
        <v>173</v>
      </c>
      <c r="AS26" s="1368"/>
      <c r="AT26" s="1370" t="s">
        <v>707</v>
      </c>
      <c r="AU26" s="1370">
        <v>347</v>
      </c>
      <c r="AV26" s="1370">
        <v>415</v>
      </c>
      <c r="AW26" s="1370">
        <v>483</v>
      </c>
      <c r="AX26" s="1370">
        <v>470</v>
      </c>
      <c r="AY26" s="1370">
        <v>429</v>
      </c>
      <c r="AZ26" s="1370">
        <v>391</v>
      </c>
      <c r="BA26" s="1370">
        <v>2535</v>
      </c>
    </row>
    <row r="27" spans="1:53" x14ac:dyDescent="0.25">
      <c r="A27" s="1366" t="s">
        <v>792</v>
      </c>
      <c r="B27" s="1366">
        <v>1082</v>
      </c>
      <c r="C27" s="1366">
        <v>1194</v>
      </c>
      <c r="D27" s="1366">
        <v>1367</v>
      </c>
      <c r="E27" s="1366">
        <v>1071</v>
      </c>
      <c r="F27" s="1366">
        <v>926</v>
      </c>
      <c r="G27" s="1366">
        <v>766</v>
      </c>
      <c r="H27" s="1366">
        <v>8125</v>
      </c>
      <c r="I27" s="1368"/>
      <c r="J27" s="1366" t="s">
        <v>792</v>
      </c>
      <c r="K27" s="1366">
        <v>217</v>
      </c>
      <c r="L27" s="1366">
        <v>194</v>
      </c>
      <c r="M27" s="1366">
        <v>172</v>
      </c>
      <c r="N27" s="1366">
        <v>174</v>
      </c>
      <c r="O27" s="1366">
        <v>135</v>
      </c>
      <c r="P27" s="1366">
        <v>127</v>
      </c>
      <c r="Q27" s="1366">
        <f t="shared" si="2"/>
        <v>1019</v>
      </c>
      <c r="R27" s="1368"/>
      <c r="S27" s="1366" t="s">
        <v>792</v>
      </c>
      <c r="T27" s="1366">
        <v>694</v>
      </c>
      <c r="U27" s="1366">
        <v>428</v>
      </c>
      <c r="V27" s="1366">
        <v>374</v>
      </c>
      <c r="W27" s="1366">
        <v>363</v>
      </c>
      <c r="X27" s="1366">
        <v>242</v>
      </c>
      <c r="Y27" s="1366">
        <v>237</v>
      </c>
      <c r="Z27" s="1366">
        <v>2338</v>
      </c>
      <c r="AA27" s="1368"/>
      <c r="AB27" s="1366" t="s">
        <v>792</v>
      </c>
      <c r="AC27" s="1366">
        <v>621</v>
      </c>
      <c r="AD27" s="1366">
        <v>708</v>
      </c>
      <c r="AE27" s="1366">
        <v>690</v>
      </c>
      <c r="AF27" s="1366">
        <v>558</v>
      </c>
      <c r="AG27" s="1366">
        <v>435</v>
      </c>
      <c r="AH27" s="1366">
        <v>333</v>
      </c>
      <c r="AI27" s="1366">
        <v>3345</v>
      </c>
      <c r="AJ27" s="1368"/>
      <c r="AK27" s="1366" t="s">
        <v>792</v>
      </c>
      <c r="AL27" s="1366">
        <v>93</v>
      </c>
      <c r="AM27" s="1366">
        <v>58</v>
      </c>
      <c r="AN27" s="1366">
        <v>62</v>
      </c>
      <c r="AO27" s="1366">
        <v>46</v>
      </c>
      <c r="AP27" s="1366">
        <v>38</v>
      </c>
      <c r="AQ27" s="1366">
        <v>29</v>
      </c>
      <c r="AR27" s="1366">
        <v>326</v>
      </c>
      <c r="AS27" s="1368"/>
      <c r="AT27" s="1370" t="s">
        <v>792</v>
      </c>
      <c r="AU27" s="1370">
        <v>492</v>
      </c>
      <c r="AV27" s="1370">
        <v>586</v>
      </c>
      <c r="AW27" s="1370">
        <v>652</v>
      </c>
      <c r="AX27" s="1370">
        <v>657</v>
      </c>
      <c r="AY27" s="1370">
        <v>564</v>
      </c>
      <c r="AZ27" s="1370">
        <v>518</v>
      </c>
      <c r="BA27" s="1370">
        <v>3469</v>
      </c>
    </row>
    <row r="28" spans="1:53" x14ac:dyDescent="0.25">
      <c r="I28" s="1368"/>
      <c r="R28" s="1368"/>
      <c r="AA28" s="1368"/>
      <c r="AJ28" s="1368"/>
      <c r="AS28" s="1368"/>
    </row>
    <row r="29" spans="1:53" x14ac:dyDescent="0.25">
      <c r="A29" s="1371" t="s">
        <v>1362</v>
      </c>
      <c r="B29" s="1371" t="s">
        <v>1363</v>
      </c>
      <c r="C29" s="1371" t="s">
        <v>1364</v>
      </c>
      <c r="D29" s="1371" t="s">
        <v>1365</v>
      </c>
      <c r="E29" s="1371" t="s">
        <v>1366</v>
      </c>
      <c r="F29" s="1371" t="s">
        <v>1367</v>
      </c>
      <c r="G29" s="1371" t="s">
        <v>1368</v>
      </c>
      <c r="H29" s="1371" t="s">
        <v>792</v>
      </c>
      <c r="I29" s="1368"/>
      <c r="J29" s="1371" t="s">
        <v>1369</v>
      </c>
      <c r="K29" s="1371" t="s">
        <v>1363</v>
      </c>
      <c r="L29" s="1371" t="s">
        <v>1364</v>
      </c>
      <c r="M29" s="1371" t="s">
        <v>1365</v>
      </c>
      <c r="N29" s="1371" t="s">
        <v>1366</v>
      </c>
      <c r="O29" s="1371" t="s">
        <v>1367</v>
      </c>
      <c r="P29" s="1371" t="s">
        <v>1368</v>
      </c>
      <c r="Q29" s="1371" t="s">
        <v>792</v>
      </c>
      <c r="R29" s="1368"/>
      <c r="S29" s="1371" t="s">
        <v>1370</v>
      </c>
      <c r="T29" s="1371" t="s">
        <v>1363</v>
      </c>
      <c r="U29" s="1371" t="s">
        <v>1364</v>
      </c>
      <c r="V29" s="1371" t="s">
        <v>1365</v>
      </c>
      <c r="W29" s="1371" t="s">
        <v>1366</v>
      </c>
      <c r="X29" s="1371" t="s">
        <v>1367</v>
      </c>
      <c r="Y29" s="1371" t="s">
        <v>1368</v>
      </c>
      <c r="Z29" s="1371" t="s">
        <v>792</v>
      </c>
      <c r="AA29" s="1368"/>
      <c r="AB29" s="1371" t="s">
        <v>1371</v>
      </c>
      <c r="AC29" s="1371" t="s">
        <v>1363</v>
      </c>
      <c r="AD29" s="1371" t="s">
        <v>1364</v>
      </c>
      <c r="AE29" s="1371" t="s">
        <v>1365</v>
      </c>
      <c r="AF29" s="1371" t="s">
        <v>1366</v>
      </c>
      <c r="AG29" s="1371" t="s">
        <v>1367</v>
      </c>
      <c r="AH29" s="1371" t="s">
        <v>1368</v>
      </c>
      <c r="AI29" s="1371" t="s">
        <v>792</v>
      </c>
      <c r="AJ29" s="1368"/>
      <c r="AK29" s="1371" t="s">
        <v>1372</v>
      </c>
      <c r="AL29" s="1371" t="s">
        <v>1363</v>
      </c>
      <c r="AM29" s="1371" t="s">
        <v>1364</v>
      </c>
      <c r="AN29" s="1371" t="s">
        <v>1365</v>
      </c>
      <c r="AO29" s="1371" t="s">
        <v>1366</v>
      </c>
      <c r="AP29" s="1371" t="s">
        <v>1367</v>
      </c>
      <c r="AQ29" s="1371" t="s">
        <v>1368</v>
      </c>
      <c r="AR29" s="1371" t="s">
        <v>792</v>
      </c>
      <c r="AS29" s="1368"/>
      <c r="AT29" s="1371" t="s">
        <v>1336</v>
      </c>
      <c r="AU29" s="1371" t="s">
        <v>1363</v>
      </c>
      <c r="AV29" s="1371" t="s">
        <v>1364</v>
      </c>
      <c r="AW29" s="1371" t="s">
        <v>1365</v>
      </c>
      <c r="AX29" s="1371" t="s">
        <v>1366</v>
      </c>
      <c r="AY29" s="1371" t="s">
        <v>1367</v>
      </c>
      <c r="AZ29" s="1371" t="s">
        <v>1368</v>
      </c>
      <c r="BA29" s="1371" t="s">
        <v>792</v>
      </c>
    </row>
    <row r="30" spans="1:53" x14ac:dyDescent="0.25">
      <c r="A30" s="1371" t="s">
        <v>630</v>
      </c>
      <c r="B30" s="1371">
        <v>148</v>
      </c>
      <c r="C30" s="1371">
        <v>163</v>
      </c>
      <c r="D30" s="1371">
        <v>162</v>
      </c>
      <c r="E30" s="1371">
        <v>101</v>
      </c>
      <c r="F30" s="1371">
        <v>95</v>
      </c>
      <c r="G30" s="1371">
        <v>85</v>
      </c>
      <c r="H30" s="1371">
        <v>754</v>
      </c>
      <c r="I30" s="1368"/>
      <c r="J30" s="1371" t="s">
        <v>630</v>
      </c>
      <c r="K30" s="1371">
        <v>24</v>
      </c>
      <c r="L30" s="1371">
        <v>21</v>
      </c>
      <c r="M30" s="1371">
        <v>18</v>
      </c>
      <c r="N30" s="1371">
        <v>11</v>
      </c>
      <c r="O30" s="1371">
        <v>9</v>
      </c>
      <c r="P30" s="1371">
        <v>16</v>
      </c>
      <c r="Q30" s="1371">
        <v>99</v>
      </c>
      <c r="R30" s="1368"/>
      <c r="S30" s="1371" t="s">
        <v>630</v>
      </c>
      <c r="T30" s="1371">
        <v>16</v>
      </c>
      <c r="U30" s="1371">
        <v>3</v>
      </c>
      <c r="V30" s="1371">
        <v>4</v>
      </c>
      <c r="W30" s="1371">
        <v>8</v>
      </c>
      <c r="X30" s="1371">
        <v>5</v>
      </c>
      <c r="Y30" s="1371">
        <v>6</v>
      </c>
      <c r="Z30" s="1371">
        <v>42</v>
      </c>
      <c r="AA30" s="1368"/>
      <c r="AB30" s="1371" t="s">
        <v>630</v>
      </c>
      <c r="AC30" s="1371">
        <v>88</v>
      </c>
      <c r="AD30" s="1371">
        <v>65</v>
      </c>
      <c r="AE30" s="1371">
        <v>69</v>
      </c>
      <c r="AF30" s="1371">
        <v>43</v>
      </c>
      <c r="AG30" s="1371">
        <v>53</v>
      </c>
      <c r="AH30" s="1371">
        <v>34</v>
      </c>
      <c r="AI30" s="1371">
        <v>352</v>
      </c>
      <c r="AJ30" s="1368"/>
      <c r="AK30" s="1371" t="s">
        <v>630</v>
      </c>
      <c r="AL30" s="1371">
        <v>4</v>
      </c>
      <c r="AM30" s="1371">
        <v>5</v>
      </c>
      <c r="AN30" s="1371">
        <v>3</v>
      </c>
      <c r="AO30" s="1371">
        <v>6</v>
      </c>
      <c r="AP30" s="1371">
        <v>9</v>
      </c>
      <c r="AQ30" s="1371">
        <v>7</v>
      </c>
      <c r="AR30" s="1371">
        <v>34</v>
      </c>
      <c r="AS30" s="1368"/>
      <c r="AT30" s="1371" t="s">
        <v>630</v>
      </c>
      <c r="AU30" s="1371">
        <v>22</v>
      </c>
      <c r="AV30" s="1371">
        <v>20</v>
      </c>
      <c r="AW30" s="1371">
        <v>37</v>
      </c>
      <c r="AX30" s="1371">
        <v>28</v>
      </c>
      <c r="AY30" s="1371">
        <v>22</v>
      </c>
      <c r="AZ30" s="1371">
        <v>23</v>
      </c>
      <c r="BA30" s="1371">
        <v>152</v>
      </c>
    </row>
    <row r="31" spans="1:53" x14ac:dyDescent="0.25">
      <c r="A31" s="1371" t="s">
        <v>645</v>
      </c>
      <c r="B31" s="1371">
        <v>313</v>
      </c>
      <c r="C31" s="1371">
        <v>395</v>
      </c>
      <c r="D31" s="1371">
        <v>388</v>
      </c>
      <c r="E31" s="1371">
        <v>334</v>
      </c>
      <c r="F31" s="1371">
        <v>387</v>
      </c>
      <c r="G31" s="1371">
        <v>326</v>
      </c>
      <c r="H31" s="1371">
        <v>2143</v>
      </c>
      <c r="I31" s="1368"/>
      <c r="J31" s="1371" t="s">
        <v>645</v>
      </c>
      <c r="K31" s="1371">
        <v>41</v>
      </c>
      <c r="L31" s="1371">
        <v>29</v>
      </c>
      <c r="M31" s="1371">
        <v>45</v>
      </c>
      <c r="N31" s="1371">
        <v>36</v>
      </c>
      <c r="O31" s="1371">
        <v>28</v>
      </c>
      <c r="P31" s="1371">
        <v>30</v>
      </c>
      <c r="Q31" s="1371">
        <v>209</v>
      </c>
      <c r="R31" s="1368"/>
      <c r="S31" s="1371" t="s">
        <v>645</v>
      </c>
      <c r="T31" s="1371">
        <v>129</v>
      </c>
      <c r="U31" s="1371">
        <v>108</v>
      </c>
      <c r="V31" s="1371">
        <v>121</v>
      </c>
      <c r="W31" s="1371">
        <v>91</v>
      </c>
      <c r="X31" s="1371">
        <v>72</v>
      </c>
      <c r="Y31" s="1371">
        <v>88</v>
      </c>
      <c r="Z31" s="1371">
        <v>609</v>
      </c>
      <c r="AA31" s="1368"/>
      <c r="AB31" s="1371" t="s">
        <v>645</v>
      </c>
      <c r="AC31" s="1371">
        <v>108</v>
      </c>
      <c r="AD31" s="1371">
        <v>73</v>
      </c>
      <c r="AE31" s="1371">
        <v>88</v>
      </c>
      <c r="AF31" s="1371">
        <v>57</v>
      </c>
      <c r="AG31" s="1371">
        <v>37</v>
      </c>
      <c r="AH31" s="1371">
        <v>44</v>
      </c>
      <c r="AI31" s="1371">
        <v>407</v>
      </c>
      <c r="AJ31" s="1368"/>
      <c r="AK31" s="1371" t="s">
        <v>645</v>
      </c>
      <c r="AL31" s="1371">
        <v>20</v>
      </c>
      <c r="AM31" s="1371">
        <v>16</v>
      </c>
      <c r="AN31" s="1371">
        <v>12</v>
      </c>
      <c r="AO31" s="1371">
        <v>12</v>
      </c>
      <c r="AP31" s="1371">
        <v>8</v>
      </c>
      <c r="AQ31" s="1371">
        <v>12</v>
      </c>
      <c r="AR31" s="1371">
        <v>80</v>
      </c>
      <c r="AS31" s="1368"/>
      <c r="AT31" s="1371" t="s">
        <v>645</v>
      </c>
      <c r="AU31" s="1371">
        <v>46</v>
      </c>
      <c r="AV31" s="1371">
        <v>77</v>
      </c>
      <c r="AW31" s="1371">
        <v>92</v>
      </c>
      <c r="AX31" s="1371">
        <v>72</v>
      </c>
      <c r="AY31" s="1371">
        <v>66</v>
      </c>
      <c r="AZ31" s="1371">
        <v>58</v>
      </c>
      <c r="BA31" s="1371">
        <v>411</v>
      </c>
    </row>
    <row r="32" spans="1:53" x14ac:dyDescent="0.25">
      <c r="A32" s="1371" t="s">
        <v>675</v>
      </c>
      <c r="B32" s="1371">
        <v>270</v>
      </c>
      <c r="C32" s="1371">
        <v>258</v>
      </c>
      <c r="D32" s="1371">
        <v>241</v>
      </c>
      <c r="E32" s="1371">
        <v>171</v>
      </c>
      <c r="F32" s="1371">
        <v>127</v>
      </c>
      <c r="G32" s="1371">
        <v>184</v>
      </c>
      <c r="H32" s="1371">
        <v>1251</v>
      </c>
      <c r="I32" s="1368"/>
      <c r="J32" s="1371" t="s">
        <v>675</v>
      </c>
      <c r="K32" s="1371">
        <v>42</v>
      </c>
      <c r="L32" s="1371">
        <v>49</v>
      </c>
      <c r="M32" s="1371">
        <v>35</v>
      </c>
      <c r="N32" s="1371">
        <v>27</v>
      </c>
      <c r="O32" s="1371">
        <v>15</v>
      </c>
      <c r="P32" s="1371">
        <v>16</v>
      </c>
      <c r="Q32" s="1371">
        <v>184</v>
      </c>
      <c r="R32" s="1368"/>
      <c r="S32" s="1371" t="s">
        <v>675</v>
      </c>
      <c r="T32" s="1371">
        <v>175</v>
      </c>
      <c r="U32" s="1371">
        <v>65</v>
      </c>
      <c r="V32" s="1371">
        <v>48</v>
      </c>
      <c r="W32" s="1371">
        <v>30</v>
      </c>
      <c r="X32" s="1371">
        <v>14</v>
      </c>
      <c r="Y32" s="1371">
        <v>8</v>
      </c>
      <c r="Z32" s="1371">
        <v>340</v>
      </c>
      <c r="AA32" s="1368"/>
      <c r="AB32" s="1371" t="s">
        <v>675</v>
      </c>
      <c r="AC32" s="1371">
        <v>72</v>
      </c>
      <c r="AD32" s="1371">
        <v>66</v>
      </c>
      <c r="AE32" s="1371">
        <v>51</v>
      </c>
      <c r="AF32" s="1371">
        <v>36</v>
      </c>
      <c r="AG32" s="1371">
        <v>35</v>
      </c>
      <c r="AH32" s="1371">
        <v>33</v>
      </c>
      <c r="AI32" s="1371">
        <v>293</v>
      </c>
      <c r="AJ32" s="1368"/>
      <c r="AK32" s="1371" t="s">
        <v>675</v>
      </c>
      <c r="AL32" s="1371">
        <v>18</v>
      </c>
      <c r="AM32" s="1371">
        <v>25</v>
      </c>
      <c r="AN32" s="1371">
        <v>16</v>
      </c>
      <c r="AO32" s="1371">
        <v>4</v>
      </c>
      <c r="AP32" s="1371">
        <v>1</v>
      </c>
      <c r="AQ32" s="1371">
        <v>2</v>
      </c>
      <c r="AR32" s="1371">
        <v>66</v>
      </c>
      <c r="AS32" s="1368"/>
      <c r="AT32" s="1371" t="s">
        <v>675</v>
      </c>
      <c r="AU32" s="1371">
        <v>58</v>
      </c>
      <c r="AV32" s="1371">
        <v>88</v>
      </c>
      <c r="AW32" s="1371">
        <v>71</v>
      </c>
      <c r="AX32" s="1371">
        <v>85</v>
      </c>
      <c r="AY32" s="1371">
        <v>36</v>
      </c>
      <c r="AZ32" s="1371">
        <v>19</v>
      </c>
      <c r="BA32" s="1371">
        <v>357</v>
      </c>
    </row>
    <row r="33" spans="1:53" x14ac:dyDescent="0.25">
      <c r="A33" s="1371" t="s">
        <v>660</v>
      </c>
      <c r="B33" s="1371">
        <v>497</v>
      </c>
      <c r="C33" s="1371">
        <v>562</v>
      </c>
      <c r="D33" s="1371">
        <v>560</v>
      </c>
      <c r="E33" s="1371">
        <v>410</v>
      </c>
      <c r="F33" s="1371">
        <v>329</v>
      </c>
      <c r="G33" s="1371">
        <v>279</v>
      </c>
      <c r="H33" s="1371">
        <v>2637</v>
      </c>
      <c r="I33" s="1368"/>
      <c r="J33" s="1371" t="s">
        <v>660</v>
      </c>
      <c r="K33" s="1371">
        <v>35</v>
      </c>
      <c r="L33" s="1371">
        <v>20</v>
      </c>
      <c r="M33" s="1371">
        <v>28</v>
      </c>
      <c r="N33" s="1371">
        <v>20</v>
      </c>
      <c r="O33" s="1371">
        <v>16</v>
      </c>
      <c r="P33" s="1371">
        <v>20</v>
      </c>
      <c r="Q33" s="1371">
        <v>139</v>
      </c>
      <c r="R33" s="1368"/>
      <c r="S33" s="1371" t="s">
        <v>660</v>
      </c>
      <c r="T33" s="1371">
        <v>23</v>
      </c>
      <c r="U33" s="1371">
        <v>16</v>
      </c>
      <c r="V33" s="1371">
        <v>11</v>
      </c>
      <c r="W33" s="1371">
        <v>30</v>
      </c>
      <c r="X33" s="1371">
        <v>13</v>
      </c>
      <c r="Y33" s="1371">
        <v>7</v>
      </c>
      <c r="Z33" s="1371">
        <v>100</v>
      </c>
      <c r="AA33" s="1368"/>
      <c r="AB33" s="1371" t="s">
        <v>660</v>
      </c>
      <c r="AC33" s="1371">
        <v>222</v>
      </c>
      <c r="AD33" s="1371">
        <v>206</v>
      </c>
      <c r="AE33" s="1371">
        <v>184</v>
      </c>
      <c r="AF33" s="1371">
        <v>173</v>
      </c>
      <c r="AG33" s="1371">
        <v>88</v>
      </c>
      <c r="AH33" s="1371">
        <v>62</v>
      </c>
      <c r="AI33" s="1371">
        <v>935</v>
      </c>
      <c r="AJ33" s="1368"/>
      <c r="AK33" s="1371" t="s">
        <v>660</v>
      </c>
      <c r="AL33" s="1371">
        <v>14</v>
      </c>
      <c r="AM33" s="1371">
        <v>14</v>
      </c>
      <c r="AN33" s="1371">
        <v>21</v>
      </c>
      <c r="AO33" s="1371">
        <v>19</v>
      </c>
      <c r="AP33" s="1371">
        <v>7</v>
      </c>
      <c r="AQ33" s="1371">
        <v>7</v>
      </c>
      <c r="AR33" s="1371">
        <v>82</v>
      </c>
      <c r="AS33" s="1368"/>
      <c r="AT33" s="1371" t="s">
        <v>660</v>
      </c>
      <c r="AU33" s="1371">
        <v>65</v>
      </c>
      <c r="AV33" s="1371">
        <v>74</v>
      </c>
      <c r="AW33" s="1371">
        <v>82</v>
      </c>
      <c r="AX33" s="1371">
        <v>91</v>
      </c>
      <c r="AY33" s="1371">
        <v>45</v>
      </c>
      <c r="AZ33" s="1371">
        <v>54</v>
      </c>
      <c r="BA33" s="1371">
        <v>411</v>
      </c>
    </row>
    <row r="34" spans="1:53" x14ac:dyDescent="0.25">
      <c r="A34" s="1371" t="s">
        <v>792</v>
      </c>
      <c r="B34" s="1371">
        <f>SUM(B30:B33)</f>
        <v>1228</v>
      </c>
      <c r="C34" s="1371">
        <f t="shared" ref="C34:H34" si="3">SUM(C30:C33)</f>
        <v>1378</v>
      </c>
      <c r="D34" s="1371">
        <f t="shared" si="3"/>
        <v>1351</v>
      </c>
      <c r="E34" s="1371">
        <f t="shared" si="3"/>
        <v>1016</v>
      </c>
      <c r="F34" s="1371">
        <f t="shared" si="3"/>
        <v>938</v>
      </c>
      <c r="G34" s="1371">
        <f t="shared" si="3"/>
        <v>874</v>
      </c>
      <c r="H34" s="1371">
        <f t="shared" si="3"/>
        <v>6785</v>
      </c>
      <c r="I34" s="1368"/>
      <c r="J34" s="1371" t="s">
        <v>792</v>
      </c>
      <c r="K34" s="1371">
        <v>142</v>
      </c>
      <c r="L34" s="1371">
        <v>119</v>
      </c>
      <c r="M34" s="1371">
        <v>126</v>
      </c>
      <c r="N34" s="1371">
        <v>94</v>
      </c>
      <c r="O34" s="1371">
        <v>68</v>
      </c>
      <c r="P34" s="1371">
        <v>82</v>
      </c>
      <c r="Q34" s="1371">
        <v>631</v>
      </c>
      <c r="R34" s="1368"/>
      <c r="S34" s="1371" t="s">
        <v>792</v>
      </c>
      <c r="T34" s="1371">
        <v>343</v>
      </c>
      <c r="U34" s="1371">
        <v>192</v>
      </c>
      <c r="V34" s="1371">
        <v>184</v>
      </c>
      <c r="W34" s="1371">
        <v>159</v>
      </c>
      <c r="X34" s="1371">
        <v>104</v>
      </c>
      <c r="Y34" s="1371">
        <v>109</v>
      </c>
      <c r="Z34" s="1371">
        <v>1091</v>
      </c>
      <c r="AA34" s="1368"/>
      <c r="AB34" s="1371" t="s">
        <v>792</v>
      </c>
      <c r="AC34" s="1371">
        <v>490</v>
      </c>
      <c r="AD34" s="1371">
        <v>410</v>
      </c>
      <c r="AE34" s="1371">
        <v>392</v>
      </c>
      <c r="AF34" s="1371">
        <v>309</v>
      </c>
      <c r="AG34" s="1371">
        <v>213</v>
      </c>
      <c r="AH34" s="1371">
        <v>173</v>
      </c>
      <c r="AI34" s="1371">
        <v>1987</v>
      </c>
      <c r="AJ34" s="1368"/>
      <c r="AK34" s="1371" t="s">
        <v>792</v>
      </c>
      <c r="AL34" s="1371">
        <v>56</v>
      </c>
      <c r="AM34" s="1371">
        <v>60</v>
      </c>
      <c r="AN34" s="1371">
        <v>52</v>
      </c>
      <c r="AO34" s="1371">
        <v>41</v>
      </c>
      <c r="AP34" s="1371">
        <v>25</v>
      </c>
      <c r="AQ34" s="1371">
        <v>28</v>
      </c>
      <c r="AR34" s="1371">
        <v>262</v>
      </c>
      <c r="AS34" s="1368"/>
      <c r="AT34" s="1371" t="s">
        <v>792</v>
      </c>
      <c r="AU34" s="1371">
        <v>191</v>
      </c>
      <c r="AV34" s="1371">
        <v>259</v>
      </c>
      <c r="AW34" s="1371">
        <v>282</v>
      </c>
      <c r="AX34" s="1371">
        <v>276</v>
      </c>
      <c r="AY34" s="1371">
        <v>169</v>
      </c>
      <c r="AZ34" s="1371">
        <v>154</v>
      </c>
      <c r="BA34" s="1371">
        <v>1331</v>
      </c>
    </row>
    <row r="35" spans="1:53" x14ac:dyDescent="0.25">
      <c r="A35" s="1371"/>
      <c r="B35" s="1371"/>
      <c r="C35" s="1371"/>
      <c r="D35" s="1371"/>
      <c r="E35" s="1371"/>
      <c r="F35" s="1371"/>
      <c r="G35" s="1371"/>
      <c r="H35" s="1371"/>
      <c r="I35" s="1368"/>
      <c r="J35" s="1371"/>
      <c r="K35" s="1371"/>
      <c r="L35" s="1371"/>
      <c r="M35" s="1371"/>
      <c r="N35" s="1371"/>
      <c r="O35" s="1371"/>
      <c r="P35" s="1371"/>
      <c r="Q35" s="1371"/>
      <c r="R35" s="1368"/>
      <c r="S35" s="1371"/>
      <c r="T35" s="1371"/>
      <c r="U35" s="1371"/>
      <c r="V35" s="1371"/>
      <c r="W35" s="1371"/>
      <c r="X35" s="1371"/>
      <c r="Y35" s="1371"/>
      <c r="Z35" s="1371"/>
      <c r="AA35" s="1368"/>
      <c r="AB35" s="1371"/>
      <c r="AC35" s="1371"/>
      <c r="AD35" s="1371"/>
      <c r="AE35" s="1371"/>
      <c r="AF35" s="1371"/>
      <c r="AG35" s="1371"/>
      <c r="AH35" s="1371"/>
      <c r="AI35" s="1371"/>
      <c r="AJ35" s="1368"/>
      <c r="AK35" s="1371"/>
      <c r="AL35" s="1371"/>
      <c r="AM35" s="1371"/>
      <c r="AN35" s="1371"/>
      <c r="AO35" s="1371"/>
      <c r="AP35" s="1371"/>
      <c r="AQ35" s="1371"/>
      <c r="AR35" s="1371"/>
      <c r="AS35" s="1368"/>
      <c r="AT35" s="1371"/>
      <c r="AU35" s="1371"/>
      <c r="AV35" s="1371"/>
      <c r="AW35" s="1371"/>
      <c r="AX35" s="1371"/>
      <c r="AY35" s="1371"/>
      <c r="AZ35" s="1371"/>
      <c r="BA35" s="1371"/>
    </row>
    <row r="36" spans="1:53" x14ac:dyDescent="0.25">
      <c r="A36" s="1371" t="s">
        <v>1373</v>
      </c>
      <c r="B36" s="1371" t="s">
        <v>1363</v>
      </c>
      <c r="C36" s="1371" t="s">
        <v>1364</v>
      </c>
      <c r="D36" s="1371" t="s">
        <v>1365</v>
      </c>
      <c r="E36" s="1371" t="s">
        <v>1366</v>
      </c>
      <c r="F36" s="1371" t="s">
        <v>1367</v>
      </c>
      <c r="G36" s="1371" t="s">
        <v>1368</v>
      </c>
      <c r="H36" s="1371" t="s">
        <v>792</v>
      </c>
      <c r="I36" s="1368"/>
      <c r="J36" s="1371" t="s">
        <v>1374</v>
      </c>
      <c r="K36" s="1371" t="s">
        <v>1363</v>
      </c>
      <c r="L36" s="1371" t="s">
        <v>1364</v>
      </c>
      <c r="M36" s="1371" t="s">
        <v>1365</v>
      </c>
      <c r="N36" s="1371" t="s">
        <v>1366</v>
      </c>
      <c r="O36" s="1371" t="s">
        <v>1367</v>
      </c>
      <c r="P36" s="1371" t="s">
        <v>1368</v>
      </c>
      <c r="Q36" s="1371" t="s">
        <v>792</v>
      </c>
      <c r="R36" s="1368"/>
      <c r="S36" s="1371" t="s">
        <v>1375</v>
      </c>
      <c r="T36" s="1371" t="s">
        <v>1363</v>
      </c>
      <c r="U36" s="1371" t="s">
        <v>1364</v>
      </c>
      <c r="V36" s="1371" t="s">
        <v>1365</v>
      </c>
      <c r="W36" s="1371" t="s">
        <v>1366</v>
      </c>
      <c r="X36" s="1371" t="s">
        <v>1367</v>
      </c>
      <c r="Y36" s="1371" t="s">
        <v>1368</v>
      </c>
      <c r="Z36" s="1371" t="s">
        <v>792</v>
      </c>
      <c r="AA36" s="1368"/>
      <c r="AB36" s="1371" t="s">
        <v>1376</v>
      </c>
      <c r="AC36" s="1371" t="s">
        <v>1363</v>
      </c>
      <c r="AD36" s="1371" t="s">
        <v>1364</v>
      </c>
      <c r="AE36" s="1371" t="s">
        <v>1365</v>
      </c>
      <c r="AF36" s="1371" t="s">
        <v>1366</v>
      </c>
      <c r="AG36" s="1371" t="s">
        <v>1367</v>
      </c>
      <c r="AH36" s="1371" t="s">
        <v>1368</v>
      </c>
      <c r="AI36" s="1371" t="s">
        <v>792</v>
      </c>
      <c r="AJ36" s="1368"/>
      <c r="AK36" s="1371" t="s">
        <v>1377</v>
      </c>
      <c r="AL36" s="1371" t="s">
        <v>1363</v>
      </c>
      <c r="AM36" s="1371" t="s">
        <v>1364</v>
      </c>
      <c r="AN36" s="1371" t="s">
        <v>1365</v>
      </c>
      <c r="AO36" s="1371" t="s">
        <v>1366</v>
      </c>
      <c r="AP36" s="1371" t="s">
        <v>1367</v>
      </c>
      <c r="AQ36" s="1371" t="s">
        <v>1368</v>
      </c>
      <c r="AR36" s="1371" t="s">
        <v>792</v>
      </c>
      <c r="AS36" s="1368"/>
      <c r="AT36" s="1371" t="s">
        <v>1345</v>
      </c>
      <c r="AU36" s="1371" t="s">
        <v>1363</v>
      </c>
      <c r="AV36" s="1371" t="s">
        <v>1364</v>
      </c>
      <c r="AW36" s="1371" t="s">
        <v>1365</v>
      </c>
      <c r="AX36" s="1371" t="s">
        <v>1366</v>
      </c>
      <c r="AY36" s="1371" t="s">
        <v>1367</v>
      </c>
      <c r="AZ36" s="1371" t="s">
        <v>1368</v>
      </c>
      <c r="BA36" s="1371" t="s">
        <v>792</v>
      </c>
    </row>
    <row r="37" spans="1:53" x14ac:dyDescent="0.25">
      <c r="A37" s="1371" t="s">
        <v>631</v>
      </c>
      <c r="B37" s="1371">
        <v>90</v>
      </c>
      <c r="C37" s="1371">
        <v>148</v>
      </c>
      <c r="D37" s="1371">
        <v>125</v>
      </c>
      <c r="E37" s="1371">
        <v>83</v>
      </c>
      <c r="F37" s="1371">
        <v>68</v>
      </c>
      <c r="G37" s="1371">
        <v>56</v>
      </c>
      <c r="H37" s="1371">
        <v>570</v>
      </c>
      <c r="I37" s="1368"/>
      <c r="J37" s="1371" t="s">
        <v>631</v>
      </c>
      <c r="K37" s="1371">
        <v>16</v>
      </c>
      <c r="L37" s="1371">
        <v>16</v>
      </c>
      <c r="M37" s="1371">
        <v>14</v>
      </c>
      <c r="N37" s="1371">
        <v>12</v>
      </c>
      <c r="O37" s="1371">
        <v>11</v>
      </c>
      <c r="P37" s="1371">
        <v>10</v>
      </c>
      <c r="Q37" s="1371">
        <v>79</v>
      </c>
      <c r="R37" s="1368"/>
      <c r="S37" s="1371" t="s">
        <v>631</v>
      </c>
      <c r="T37" s="1371">
        <v>13</v>
      </c>
      <c r="U37" s="1371">
        <v>2</v>
      </c>
      <c r="V37" s="1371">
        <v>3</v>
      </c>
      <c r="W37" s="1371">
        <v>7</v>
      </c>
      <c r="X37" s="1371">
        <v>10</v>
      </c>
      <c r="Y37" s="1371">
        <v>9</v>
      </c>
      <c r="Z37" s="1371">
        <v>44</v>
      </c>
      <c r="AA37" s="1368"/>
      <c r="AB37" s="1371" t="s">
        <v>631</v>
      </c>
      <c r="AC37" s="1371">
        <v>65</v>
      </c>
      <c r="AD37" s="1371">
        <v>48</v>
      </c>
      <c r="AE37" s="1371">
        <v>41</v>
      </c>
      <c r="AF37" s="1371">
        <v>46</v>
      </c>
      <c r="AG37" s="1371">
        <v>24</v>
      </c>
      <c r="AH37" s="1371">
        <v>19</v>
      </c>
      <c r="AI37" s="1371">
        <v>243</v>
      </c>
      <c r="AJ37" s="1368"/>
      <c r="AK37" s="1371" t="s">
        <v>631</v>
      </c>
      <c r="AL37" s="1371">
        <v>8</v>
      </c>
      <c r="AM37" s="1371">
        <v>1</v>
      </c>
      <c r="AN37" s="1371">
        <v>7</v>
      </c>
      <c r="AO37" s="1371">
        <v>2</v>
      </c>
      <c r="AP37" s="1371">
        <v>6</v>
      </c>
      <c r="AQ37" s="1371">
        <v>12</v>
      </c>
      <c r="AR37" s="1371">
        <v>36</v>
      </c>
      <c r="AS37" s="1368"/>
      <c r="AT37" s="1371" t="s">
        <v>631</v>
      </c>
      <c r="AU37" s="1371">
        <v>13</v>
      </c>
      <c r="AV37" s="1371">
        <v>21</v>
      </c>
      <c r="AW37" s="1371">
        <v>23</v>
      </c>
      <c r="AX37" s="1371">
        <v>35</v>
      </c>
      <c r="AY37" s="1371">
        <v>20</v>
      </c>
      <c r="AZ37" s="1371">
        <v>14</v>
      </c>
      <c r="BA37" s="1371">
        <v>126</v>
      </c>
    </row>
    <row r="38" spans="1:53" x14ac:dyDescent="0.25">
      <c r="A38" s="1371" t="s">
        <v>646</v>
      </c>
      <c r="B38" s="1371">
        <v>233</v>
      </c>
      <c r="C38" s="1371">
        <v>308</v>
      </c>
      <c r="D38" s="1371">
        <v>274</v>
      </c>
      <c r="E38" s="1371">
        <v>261</v>
      </c>
      <c r="F38" s="1371">
        <v>218</v>
      </c>
      <c r="G38" s="1371">
        <v>166</v>
      </c>
      <c r="H38" s="1371">
        <v>1460</v>
      </c>
      <c r="I38" s="1368"/>
      <c r="J38" s="1371" t="s">
        <v>646</v>
      </c>
      <c r="K38" s="1371">
        <v>42</v>
      </c>
      <c r="L38" s="1371">
        <v>32</v>
      </c>
      <c r="M38" s="1371">
        <v>38</v>
      </c>
      <c r="N38" s="1371">
        <v>20</v>
      </c>
      <c r="O38" s="1371">
        <v>17</v>
      </c>
      <c r="P38" s="1371">
        <v>15</v>
      </c>
      <c r="Q38" s="1371">
        <v>164</v>
      </c>
      <c r="R38" s="1368"/>
      <c r="S38" s="1371" t="s">
        <v>646</v>
      </c>
      <c r="T38" s="1371">
        <v>99</v>
      </c>
      <c r="U38" s="1371">
        <v>77</v>
      </c>
      <c r="V38" s="1371">
        <v>69</v>
      </c>
      <c r="W38" s="1371">
        <v>77</v>
      </c>
      <c r="X38" s="1371">
        <v>66</v>
      </c>
      <c r="Y38" s="1371">
        <v>64</v>
      </c>
      <c r="Z38" s="1371">
        <v>452</v>
      </c>
      <c r="AA38" s="1368"/>
      <c r="AB38" s="1371" t="s">
        <v>646</v>
      </c>
      <c r="AC38" s="1371">
        <v>56</v>
      </c>
      <c r="AD38" s="1371">
        <v>55</v>
      </c>
      <c r="AE38" s="1371">
        <v>59</v>
      </c>
      <c r="AF38" s="1371">
        <v>27</v>
      </c>
      <c r="AG38" s="1371">
        <v>38</v>
      </c>
      <c r="AH38" s="1371">
        <v>51</v>
      </c>
      <c r="AI38" s="1371">
        <v>286</v>
      </c>
      <c r="AJ38" s="1368"/>
      <c r="AK38" s="1371" t="s">
        <v>646</v>
      </c>
      <c r="AL38" s="1371">
        <v>15</v>
      </c>
      <c r="AM38" s="1371">
        <v>14</v>
      </c>
      <c r="AN38" s="1371">
        <v>5</v>
      </c>
      <c r="AO38" s="1371">
        <v>11</v>
      </c>
      <c r="AP38" s="1371">
        <v>9</v>
      </c>
      <c r="AQ38" s="1371">
        <v>7</v>
      </c>
      <c r="AR38" s="1371">
        <v>61</v>
      </c>
      <c r="AS38" s="1368"/>
      <c r="AT38" s="1371" t="s">
        <v>646</v>
      </c>
      <c r="AU38" s="1371">
        <v>30</v>
      </c>
      <c r="AV38" s="1371">
        <v>21</v>
      </c>
      <c r="AW38" s="1371">
        <v>26</v>
      </c>
      <c r="AX38" s="1371">
        <v>25</v>
      </c>
      <c r="AY38" s="1371">
        <v>22</v>
      </c>
      <c r="AZ38" s="1371">
        <v>16</v>
      </c>
      <c r="BA38" s="1371">
        <v>140</v>
      </c>
    </row>
    <row r="39" spans="1:53" x14ac:dyDescent="0.25">
      <c r="A39" s="1371" t="s">
        <v>676</v>
      </c>
      <c r="B39" s="1371">
        <v>170</v>
      </c>
      <c r="C39" s="1371">
        <v>178</v>
      </c>
      <c r="D39" s="1371">
        <v>159</v>
      </c>
      <c r="E39" s="1371">
        <v>133</v>
      </c>
      <c r="F39" s="1371">
        <v>97</v>
      </c>
      <c r="G39" s="1371">
        <v>146</v>
      </c>
      <c r="H39" s="1371">
        <v>883</v>
      </c>
      <c r="I39" s="1368"/>
      <c r="J39" s="1371" t="s">
        <v>676</v>
      </c>
      <c r="K39" s="1371">
        <v>42</v>
      </c>
      <c r="L39" s="1371">
        <v>35</v>
      </c>
      <c r="M39" s="1371">
        <v>26</v>
      </c>
      <c r="N39" s="1371">
        <v>18</v>
      </c>
      <c r="O39" s="1371">
        <v>19</v>
      </c>
      <c r="P39" s="1371">
        <v>21</v>
      </c>
      <c r="Q39" s="1371">
        <v>161</v>
      </c>
      <c r="R39" s="1368"/>
      <c r="S39" s="1371" t="s">
        <v>676</v>
      </c>
      <c r="T39" s="1371">
        <v>105</v>
      </c>
      <c r="U39" s="1371">
        <v>28</v>
      </c>
      <c r="V39" s="1371">
        <v>26</v>
      </c>
      <c r="W39" s="1371">
        <v>29</v>
      </c>
      <c r="X39" s="1371">
        <v>18</v>
      </c>
      <c r="Y39" s="1371">
        <v>15</v>
      </c>
      <c r="Z39" s="1371">
        <v>221</v>
      </c>
      <c r="AA39" s="1368"/>
      <c r="AB39" s="1371" t="s">
        <v>676</v>
      </c>
      <c r="AC39" s="1371">
        <v>45</v>
      </c>
      <c r="AD39" s="1371">
        <v>53</v>
      </c>
      <c r="AE39" s="1371">
        <v>40</v>
      </c>
      <c r="AF39" s="1371">
        <v>25</v>
      </c>
      <c r="AG39" s="1371">
        <v>19</v>
      </c>
      <c r="AH39" s="1371">
        <v>20</v>
      </c>
      <c r="AI39" s="1371">
        <v>202</v>
      </c>
      <c r="AJ39" s="1368"/>
      <c r="AK39" s="1371" t="s">
        <v>676</v>
      </c>
      <c r="AL39" s="1371">
        <v>20</v>
      </c>
      <c r="AM39" s="1371">
        <v>10</v>
      </c>
      <c r="AN39" s="1371">
        <v>6</v>
      </c>
      <c r="AO39" s="1371">
        <v>6</v>
      </c>
      <c r="AP39" s="1371">
        <v>2</v>
      </c>
      <c r="AQ39" s="1371">
        <v>2</v>
      </c>
      <c r="AR39" s="1371">
        <v>46</v>
      </c>
      <c r="AS39" s="1368"/>
      <c r="AT39" s="1371" t="s">
        <v>676</v>
      </c>
      <c r="AU39" s="1371">
        <v>36</v>
      </c>
      <c r="AV39" s="1371">
        <v>39</v>
      </c>
      <c r="AW39" s="1371">
        <v>30</v>
      </c>
      <c r="AX39" s="1371">
        <v>60</v>
      </c>
      <c r="AY39" s="1371">
        <v>22</v>
      </c>
      <c r="AZ39" s="1371">
        <v>11</v>
      </c>
      <c r="BA39" s="1371">
        <v>198</v>
      </c>
    </row>
    <row r="40" spans="1:53" x14ac:dyDescent="0.25">
      <c r="A40" s="1371" t="s">
        <v>661</v>
      </c>
      <c r="B40" s="1371">
        <v>329</v>
      </c>
      <c r="C40" s="1371">
        <v>408</v>
      </c>
      <c r="D40" s="1371">
        <v>419</v>
      </c>
      <c r="E40" s="1371">
        <v>286</v>
      </c>
      <c r="F40" s="1371">
        <v>212</v>
      </c>
      <c r="G40" s="1371">
        <v>185</v>
      </c>
      <c r="H40" s="1371">
        <v>1839</v>
      </c>
      <c r="I40" s="1368"/>
      <c r="J40" s="1371" t="s">
        <v>661</v>
      </c>
      <c r="K40" s="1371">
        <v>15</v>
      </c>
      <c r="L40" s="1371">
        <v>26</v>
      </c>
      <c r="M40" s="1371">
        <v>26</v>
      </c>
      <c r="N40" s="1371">
        <v>15</v>
      </c>
      <c r="O40" s="1371">
        <v>7</v>
      </c>
      <c r="P40" s="1371">
        <v>17</v>
      </c>
      <c r="Q40" s="1371">
        <v>106</v>
      </c>
      <c r="R40" s="1368"/>
      <c r="S40" s="1371" t="s">
        <v>661</v>
      </c>
      <c r="T40" s="1371">
        <v>15</v>
      </c>
      <c r="U40" s="1371">
        <v>18</v>
      </c>
      <c r="V40" s="1371">
        <v>13</v>
      </c>
      <c r="W40" s="1371">
        <v>12</v>
      </c>
      <c r="X40" s="1371">
        <v>8</v>
      </c>
      <c r="Y40" s="1371">
        <v>2</v>
      </c>
      <c r="Z40" s="1371">
        <v>68</v>
      </c>
      <c r="AA40" s="1368"/>
      <c r="AB40" s="1371" t="s">
        <v>661</v>
      </c>
      <c r="AC40" s="1371">
        <v>99</v>
      </c>
      <c r="AD40" s="1371">
        <v>121</v>
      </c>
      <c r="AE40" s="1371">
        <v>105</v>
      </c>
      <c r="AF40" s="1371">
        <v>85</v>
      </c>
      <c r="AG40" s="1371">
        <v>75</v>
      </c>
      <c r="AH40" s="1371">
        <v>64</v>
      </c>
      <c r="AI40" s="1371">
        <v>549</v>
      </c>
      <c r="AJ40" s="1368"/>
      <c r="AK40" s="1371" t="s">
        <v>661</v>
      </c>
      <c r="AL40" s="1371">
        <v>19</v>
      </c>
      <c r="AM40" s="1371">
        <v>12</v>
      </c>
      <c r="AN40" s="1371">
        <v>20</v>
      </c>
      <c r="AO40" s="1371">
        <v>14</v>
      </c>
      <c r="AP40" s="1371">
        <v>10</v>
      </c>
      <c r="AQ40" s="1371">
        <v>7</v>
      </c>
      <c r="AR40" s="1371">
        <v>82</v>
      </c>
      <c r="AS40" s="1368"/>
      <c r="AT40" s="1371" t="s">
        <v>661</v>
      </c>
      <c r="AU40" s="1371">
        <v>30</v>
      </c>
      <c r="AV40" s="1371">
        <v>35</v>
      </c>
      <c r="AW40" s="1371">
        <v>49</v>
      </c>
      <c r="AX40" s="1371">
        <v>44</v>
      </c>
      <c r="AY40" s="1371">
        <v>27</v>
      </c>
      <c r="AZ40" s="1371">
        <v>32</v>
      </c>
      <c r="BA40" s="1371">
        <v>217</v>
      </c>
    </row>
    <row r="41" spans="1:53" x14ac:dyDescent="0.25">
      <c r="A41" s="1371" t="s">
        <v>792</v>
      </c>
      <c r="B41" s="1371">
        <f>SUM(B37:B40)</f>
        <v>822</v>
      </c>
      <c r="C41" s="1371">
        <f t="shared" ref="C41:H41" si="4">SUM(C37:C40)</f>
        <v>1042</v>
      </c>
      <c r="D41" s="1371">
        <f t="shared" si="4"/>
        <v>977</v>
      </c>
      <c r="E41" s="1371">
        <f t="shared" si="4"/>
        <v>763</v>
      </c>
      <c r="F41" s="1371">
        <f t="shared" si="4"/>
        <v>595</v>
      </c>
      <c r="G41" s="1371">
        <f t="shared" si="4"/>
        <v>553</v>
      </c>
      <c r="H41" s="1371">
        <f t="shared" si="4"/>
        <v>4752</v>
      </c>
      <c r="I41" s="1368"/>
      <c r="J41" s="1371" t="s">
        <v>792</v>
      </c>
      <c r="K41" s="1371">
        <v>115</v>
      </c>
      <c r="L41" s="1371">
        <v>109</v>
      </c>
      <c r="M41" s="1371">
        <v>104</v>
      </c>
      <c r="N41" s="1371">
        <v>65</v>
      </c>
      <c r="O41" s="1371">
        <v>54</v>
      </c>
      <c r="P41" s="1371">
        <v>63</v>
      </c>
      <c r="Q41" s="1371">
        <v>510</v>
      </c>
      <c r="R41" s="1368"/>
      <c r="S41" s="1371" t="s">
        <v>792</v>
      </c>
      <c r="T41" s="1371">
        <v>232</v>
      </c>
      <c r="U41" s="1371">
        <v>125</v>
      </c>
      <c r="V41" s="1371">
        <v>111</v>
      </c>
      <c r="W41" s="1371">
        <v>125</v>
      </c>
      <c r="X41" s="1371">
        <v>102</v>
      </c>
      <c r="Y41" s="1371">
        <v>90</v>
      </c>
      <c r="Z41" s="1371">
        <v>785</v>
      </c>
      <c r="AA41" s="1368"/>
      <c r="AB41" s="1371" t="s">
        <v>792</v>
      </c>
      <c r="AC41" s="1371">
        <v>265</v>
      </c>
      <c r="AD41" s="1371">
        <v>277</v>
      </c>
      <c r="AE41" s="1371">
        <v>245</v>
      </c>
      <c r="AF41" s="1371">
        <v>183</v>
      </c>
      <c r="AG41" s="1371">
        <v>156</v>
      </c>
      <c r="AH41" s="1371">
        <v>154</v>
      </c>
      <c r="AI41" s="1371">
        <v>1280</v>
      </c>
      <c r="AJ41" s="1368"/>
      <c r="AK41" s="1371" t="s">
        <v>792</v>
      </c>
      <c r="AL41" s="1371">
        <v>62</v>
      </c>
      <c r="AM41" s="1371">
        <v>37</v>
      </c>
      <c r="AN41" s="1371">
        <v>38</v>
      </c>
      <c r="AO41" s="1371">
        <v>33</v>
      </c>
      <c r="AP41" s="1371">
        <v>27</v>
      </c>
      <c r="AQ41" s="1371">
        <v>28</v>
      </c>
      <c r="AR41" s="1371">
        <v>225</v>
      </c>
      <c r="AS41" s="1368"/>
      <c r="AT41" s="1371" t="s">
        <v>792</v>
      </c>
      <c r="AU41" s="1371">
        <v>109</v>
      </c>
      <c r="AV41" s="1371">
        <v>116</v>
      </c>
      <c r="AW41" s="1371">
        <v>128</v>
      </c>
      <c r="AX41" s="1371">
        <v>164</v>
      </c>
      <c r="AY41" s="1371">
        <v>91</v>
      </c>
      <c r="AZ41" s="1371">
        <v>73</v>
      </c>
      <c r="BA41" s="1371">
        <v>681</v>
      </c>
    </row>
    <row r="42" spans="1:53" x14ac:dyDescent="0.25">
      <c r="A42" s="1371"/>
      <c r="B42" s="1371"/>
      <c r="C42" s="1371"/>
      <c r="D42" s="1371"/>
      <c r="E42" s="1371"/>
      <c r="F42" s="1371"/>
      <c r="G42" s="1371"/>
      <c r="H42" s="1371"/>
      <c r="I42" s="1368"/>
      <c r="J42" s="1371"/>
      <c r="K42" s="1371"/>
      <c r="L42" s="1371"/>
      <c r="M42" s="1371"/>
      <c r="N42" s="1371"/>
      <c r="O42" s="1371"/>
      <c r="P42" s="1371"/>
      <c r="Q42" s="1371"/>
      <c r="R42" s="1368"/>
      <c r="S42" s="1371"/>
      <c r="T42" s="1371"/>
      <c r="U42" s="1371"/>
      <c r="V42" s="1371"/>
      <c r="W42" s="1371"/>
      <c r="X42" s="1371"/>
      <c r="Y42" s="1371"/>
      <c r="Z42" s="1371"/>
      <c r="AA42" s="1368"/>
      <c r="AB42" s="1371"/>
      <c r="AC42" s="1371"/>
      <c r="AD42" s="1371"/>
      <c r="AE42" s="1371"/>
      <c r="AF42" s="1371"/>
      <c r="AG42" s="1371"/>
      <c r="AH42" s="1371"/>
      <c r="AI42" s="1371"/>
      <c r="AJ42" s="1368"/>
      <c r="AK42" s="1371"/>
      <c r="AL42" s="1371"/>
      <c r="AM42" s="1371"/>
      <c r="AN42" s="1371"/>
      <c r="AO42" s="1371"/>
      <c r="AP42" s="1371"/>
      <c r="AQ42" s="1371"/>
      <c r="AR42" s="1371"/>
      <c r="AS42" s="1368"/>
      <c r="AT42" s="1371"/>
      <c r="AU42" s="1371"/>
      <c r="AV42" s="1371"/>
      <c r="AW42" s="1371"/>
      <c r="AX42" s="1371"/>
      <c r="AY42" s="1371"/>
      <c r="AZ42" s="1371"/>
      <c r="BA42" s="1371"/>
    </row>
    <row r="43" spans="1:53" x14ac:dyDescent="0.25">
      <c r="A43" s="1371" t="s">
        <v>1378</v>
      </c>
      <c r="B43" s="1371" t="s">
        <v>1325</v>
      </c>
      <c r="C43" s="1371" t="s">
        <v>789</v>
      </c>
      <c r="D43" s="1371" t="s">
        <v>1326</v>
      </c>
      <c r="E43" s="1371" t="s">
        <v>790</v>
      </c>
      <c r="F43" s="1371" t="s">
        <v>1327</v>
      </c>
      <c r="G43" s="1371" t="s">
        <v>1328</v>
      </c>
      <c r="H43" s="1371" t="s">
        <v>792</v>
      </c>
      <c r="I43" s="1368"/>
      <c r="J43" s="1371" t="s">
        <v>1379</v>
      </c>
      <c r="K43" s="1371" t="s">
        <v>1363</v>
      </c>
      <c r="L43" s="1371" t="s">
        <v>1364</v>
      </c>
      <c r="M43" s="1371" t="s">
        <v>1365</v>
      </c>
      <c r="N43" s="1371" t="s">
        <v>1366</v>
      </c>
      <c r="O43" s="1371" t="s">
        <v>1367</v>
      </c>
      <c r="P43" s="1371" t="s">
        <v>1368</v>
      </c>
      <c r="Q43" s="1371" t="s">
        <v>792</v>
      </c>
      <c r="R43" s="1368"/>
      <c r="S43" s="1371" t="s">
        <v>1380</v>
      </c>
      <c r="T43" s="1371" t="s">
        <v>1363</v>
      </c>
      <c r="U43" s="1371" t="s">
        <v>1364</v>
      </c>
      <c r="V43" s="1371" t="s">
        <v>1365</v>
      </c>
      <c r="W43" s="1371" t="s">
        <v>1366</v>
      </c>
      <c r="X43" s="1371" t="s">
        <v>1367</v>
      </c>
      <c r="Y43" s="1371" t="s">
        <v>1368</v>
      </c>
      <c r="Z43" s="1371" t="s">
        <v>792</v>
      </c>
      <c r="AA43" s="1368"/>
      <c r="AB43" s="1371" t="s">
        <v>1381</v>
      </c>
      <c r="AC43" s="1371" t="s">
        <v>1363</v>
      </c>
      <c r="AD43" s="1371" t="s">
        <v>1364</v>
      </c>
      <c r="AE43" s="1371" t="s">
        <v>1365</v>
      </c>
      <c r="AF43" s="1371" t="s">
        <v>1366</v>
      </c>
      <c r="AG43" s="1371" t="s">
        <v>1367</v>
      </c>
      <c r="AH43" s="1371" t="s">
        <v>1368</v>
      </c>
      <c r="AI43" s="1371" t="s">
        <v>792</v>
      </c>
      <c r="AJ43" s="1368"/>
      <c r="AK43" s="1371" t="s">
        <v>1382</v>
      </c>
      <c r="AL43" s="1371" t="s">
        <v>1363</v>
      </c>
      <c r="AM43" s="1371" t="s">
        <v>1364</v>
      </c>
      <c r="AN43" s="1371" t="s">
        <v>1365</v>
      </c>
      <c r="AO43" s="1371" t="s">
        <v>1366</v>
      </c>
      <c r="AP43" s="1371" t="s">
        <v>1367</v>
      </c>
      <c r="AQ43" s="1371" t="s">
        <v>1368</v>
      </c>
      <c r="AR43" s="1371" t="s">
        <v>792</v>
      </c>
      <c r="AS43" s="1368"/>
      <c r="AT43" s="1371" t="s">
        <v>1361</v>
      </c>
      <c r="AU43" s="1371" t="s">
        <v>1363</v>
      </c>
      <c r="AV43" s="1371" t="s">
        <v>1364</v>
      </c>
      <c r="AW43" s="1371" t="s">
        <v>1365</v>
      </c>
      <c r="AX43" s="1371" t="s">
        <v>1366</v>
      </c>
      <c r="AY43" s="1371" t="s">
        <v>1367</v>
      </c>
      <c r="AZ43" s="1371" t="s">
        <v>1368</v>
      </c>
      <c r="BA43" s="1371" t="s">
        <v>792</v>
      </c>
    </row>
    <row r="44" spans="1:53" x14ac:dyDescent="0.25">
      <c r="A44" s="1371" t="s">
        <v>705</v>
      </c>
      <c r="B44" s="1371">
        <v>238</v>
      </c>
      <c r="C44" s="1371">
        <v>311</v>
      </c>
      <c r="D44" s="1371">
        <v>287</v>
      </c>
      <c r="E44" s="1371">
        <v>184</v>
      </c>
      <c r="F44" s="1371">
        <v>163</v>
      </c>
      <c r="G44" s="1371">
        <v>141</v>
      </c>
      <c r="H44" s="1371">
        <v>1324</v>
      </c>
      <c r="I44" s="1368"/>
      <c r="J44" s="1371" t="s">
        <v>705</v>
      </c>
      <c r="K44" s="1371">
        <v>40</v>
      </c>
      <c r="L44" s="1371">
        <v>37</v>
      </c>
      <c r="M44" s="1371">
        <v>32</v>
      </c>
      <c r="N44" s="1371">
        <v>23</v>
      </c>
      <c r="O44" s="1371">
        <v>20</v>
      </c>
      <c r="P44" s="1371">
        <v>26</v>
      </c>
      <c r="Q44" s="1371">
        <v>178</v>
      </c>
      <c r="R44" s="1368"/>
      <c r="S44" s="1371" t="s">
        <v>705</v>
      </c>
      <c r="T44" s="1371">
        <v>29</v>
      </c>
      <c r="U44" s="1371">
        <v>5</v>
      </c>
      <c r="V44" s="1371">
        <v>7</v>
      </c>
      <c r="W44" s="1371">
        <v>15</v>
      </c>
      <c r="X44" s="1371">
        <v>15</v>
      </c>
      <c r="Y44" s="1371">
        <v>15</v>
      </c>
      <c r="Z44" s="1371">
        <v>86</v>
      </c>
      <c r="AA44" s="1368"/>
      <c r="AB44" s="1371" t="s">
        <v>705</v>
      </c>
      <c r="AC44" s="1371">
        <v>153</v>
      </c>
      <c r="AD44" s="1371">
        <v>113</v>
      </c>
      <c r="AE44" s="1371">
        <v>110</v>
      </c>
      <c r="AF44" s="1371">
        <v>89</v>
      </c>
      <c r="AG44" s="1371">
        <v>77</v>
      </c>
      <c r="AH44" s="1371">
        <v>53</v>
      </c>
      <c r="AI44" s="1371">
        <v>595</v>
      </c>
      <c r="AJ44" s="1368"/>
      <c r="AK44" s="1371" t="s">
        <v>705</v>
      </c>
      <c r="AL44" s="1371">
        <v>12</v>
      </c>
      <c r="AM44" s="1371">
        <v>6</v>
      </c>
      <c r="AN44" s="1371">
        <v>10</v>
      </c>
      <c r="AO44" s="1371">
        <v>8</v>
      </c>
      <c r="AP44" s="1371">
        <v>15</v>
      </c>
      <c r="AQ44" s="1371">
        <v>19</v>
      </c>
      <c r="AR44" s="1371">
        <v>70</v>
      </c>
      <c r="AS44" s="1368"/>
      <c r="AT44" s="1371" t="s">
        <v>705</v>
      </c>
      <c r="AU44" s="1371">
        <v>35</v>
      </c>
      <c r="AV44" s="1371">
        <v>41</v>
      </c>
      <c r="AW44" s="1371">
        <v>60</v>
      </c>
      <c r="AX44" s="1371">
        <v>63</v>
      </c>
      <c r="AY44" s="1371">
        <v>42</v>
      </c>
      <c r="AZ44" s="1371">
        <v>37</v>
      </c>
      <c r="BA44" s="1371">
        <v>278</v>
      </c>
    </row>
    <row r="45" spans="1:53" x14ac:dyDescent="0.25">
      <c r="A45" s="1371" t="s">
        <v>706</v>
      </c>
      <c r="B45" s="1371">
        <v>546</v>
      </c>
      <c r="C45" s="1371">
        <v>703</v>
      </c>
      <c r="D45" s="1371">
        <v>662</v>
      </c>
      <c r="E45" s="1371">
        <v>595</v>
      </c>
      <c r="F45" s="1371">
        <v>605</v>
      </c>
      <c r="G45" s="1371">
        <v>492</v>
      </c>
      <c r="H45" s="1371">
        <v>3603</v>
      </c>
      <c r="I45" s="1368"/>
      <c r="J45" s="1371" t="s">
        <v>706</v>
      </c>
      <c r="K45" s="1371">
        <v>83</v>
      </c>
      <c r="L45" s="1371">
        <v>61</v>
      </c>
      <c r="M45" s="1371">
        <v>83</v>
      </c>
      <c r="N45" s="1371">
        <v>56</v>
      </c>
      <c r="O45" s="1371">
        <v>45</v>
      </c>
      <c r="P45" s="1371">
        <v>45</v>
      </c>
      <c r="Q45" s="1371">
        <v>373</v>
      </c>
      <c r="R45" s="1368"/>
      <c r="S45" s="1371" t="s">
        <v>706</v>
      </c>
      <c r="T45" s="1371">
        <v>228</v>
      </c>
      <c r="U45" s="1371">
        <v>185</v>
      </c>
      <c r="V45" s="1371">
        <v>190</v>
      </c>
      <c r="W45" s="1371">
        <v>168</v>
      </c>
      <c r="X45" s="1371">
        <v>138</v>
      </c>
      <c r="Y45" s="1371">
        <v>152</v>
      </c>
      <c r="Z45" s="1371">
        <v>1061</v>
      </c>
      <c r="AA45" s="1368"/>
      <c r="AB45" s="1371" t="s">
        <v>706</v>
      </c>
      <c r="AC45" s="1371">
        <v>164</v>
      </c>
      <c r="AD45" s="1371">
        <v>128</v>
      </c>
      <c r="AE45" s="1371">
        <v>147</v>
      </c>
      <c r="AF45" s="1371">
        <v>84</v>
      </c>
      <c r="AG45" s="1371">
        <v>75</v>
      </c>
      <c r="AH45" s="1371">
        <v>95</v>
      </c>
      <c r="AI45" s="1371">
        <v>693</v>
      </c>
      <c r="AJ45" s="1368"/>
      <c r="AK45" s="1371" t="s">
        <v>706</v>
      </c>
      <c r="AL45" s="1371">
        <v>35</v>
      </c>
      <c r="AM45" s="1371">
        <v>30</v>
      </c>
      <c r="AN45" s="1371">
        <v>17</v>
      </c>
      <c r="AO45" s="1371">
        <v>23</v>
      </c>
      <c r="AP45" s="1371">
        <v>17</v>
      </c>
      <c r="AQ45" s="1371">
        <v>19</v>
      </c>
      <c r="AR45" s="1371">
        <v>141</v>
      </c>
      <c r="AS45" s="1368"/>
      <c r="AT45" s="1371" t="s">
        <v>706</v>
      </c>
      <c r="AU45" s="1371">
        <v>76</v>
      </c>
      <c r="AV45" s="1371">
        <v>98</v>
      </c>
      <c r="AW45" s="1371">
        <v>118</v>
      </c>
      <c r="AX45" s="1371">
        <v>97</v>
      </c>
      <c r="AY45" s="1371">
        <v>88</v>
      </c>
      <c r="AZ45" s="1371">
        <v>74</v>
      </c>
      <c r="BA45" s="1371">
        <v>551</v>
      </c>
    </row>
    <row r="46" spans="1:53" x14ac:dyDescent="0.25">
      <c r="A46" s="1371" t="s">
        <v>708</v>
      </c>
      <c r="B46" s="1371">
        <v>440</v>
      </c>
      <c r="C46" s="1371">
        <v>436</v>
      </c>
      <c r="D46" s="1371">
        <v>400</v>
      </c>
      <c r="E46" s="1371">
        <v>304</v>
      </c>
      <c r="F46" s="1371">
        <v>224</v>
      </c>
      <c r="G46" s="1371">
        <v>330</v>
      </c>
      <c r="H46" s="1371">
        <v>2134</v>
      </c>
      <c r="I46" s="1368"/>
      <c r="J46" s="1371" t="s">
        <v>708</v>
      </c>
      <c r="K46" s="1371">
        <v>84</v>
      </c>
      <c r="L46" s="1371">
        <v>84</v>
      </c>
      <c r="M46" s="1371">
        <v>61</v>
      </c>
      <c r="N46" s="1371">
        <v>45</v>
      </c>
      <c r="O46" s="1371">
        <v>34</v>
      </c>
      <c r="P46" s="1371">
        <v>37</v>
      </c>
      <c r="Q46" s="1371">
        <v>345</v>
      </c>
      <c r="R46" s="1368"/>
      <c r="S46" s="1371" t="s">
        <v>708</v>
      </c>
      <c r="T46" s="1371">
        <v>280</v>
      </c>
      <c r="U46" s="1371">
        <v>93</v>
      </c>
      <c r="V46" s="1371">
        <v>74</v>
      </c>
      <c r="W46" s="1371">
        <v>59</v>
      </c>
      <c r="X46" s="1371">
        <v>32</v>
      </c>
      <c r="Y46" s="1371">
        <v>23</v>
      </c>
      <c r="Z46" s="1371">
        <v>561</v>
      </c>
      <c r="AA46" s="1368"/>
      <c r="AB46" s="1371" t="s">
        <v>708</v>
      </c>
      <c r="AC46" s="1371">
        <v>117</v>
      </c>
      <c r="AD46" s="1371">
        <v>119</v>
      </c>
      <c r="AE46" s="1371">
        <v>91</v>
      </c>
      <c r="AF46" s="1371">
        <v>61</v>
      </c>
      <c r="AG46" s="1371">
        <v>54</v>
      </c>
      <c r="AH46" s="1371">
        <v>53</v>
      </c>
      <c r="AI46" s="1371">
        <v>495</v>
      </c>
      <c r="AJ46" s="1368"/>
      <c r="AK46" s="1371" t="s">
        <v>708</v>
      </c>
      <c r="AL46" s="1371">
        <v>38</v>
      </c>
      <c r="AM46" s="1371">
        <v>35</v>
      </c>
      <c r="AN46" s="1371">
        <v>22</v>
      </c>
      <c r="AO46" s="1371">
        <v>10</v>
      </c>
      <c r="AP46" s="1371">
        <v>3</v>
      </c>
      <c r="AQ46" s="1371">
        <v>4</v>
      </c>
      <c r="AR46" s="1371">
        <v>112</v>
      </c>
      <c r="AS46" s="1368"/>
      <c r="AT46" s="1371" t="s">
        <v>708</v>
      </c>
      <c r="AU46" s="1371">
        <v>94</v>
      </c>
      <c r="AV46" s="1371">
        <v>127</v>
      </c>
      <c r="AW46" s="1371">
        <v>101</v>
      </c>
      <c r="AX46" s="1371">
        <v>145</v>
      </c>
      <c r="AY46" s="1371">
        <v>58</v>
      </c>
      <c r="AZ46" s="1371">
        <v>30</v>
      </c>
      <c r="BA46" s="1371">
        <v>555</v>
      </c>
    </row>
    <row r="47" spans="1:53" x14ac:dyDescent="0.25">
      <c r="A47" s="1371" t="s">
        <v>707</v>
      </c>
      <c r="B47" s="1371">
        <v>826</v>
      </c>
      <c r="C47" s="1371">
        <v>970</v>
      </c>
      <c r="D47" s="1371">
        <v>979</v>
      </c>
      <c r="E47" s="1371">
        <v>696</v>
      </c>
      <c r="F47" s="1371">
        <v>541</v>
      </c>
      <c r="G47" s="1371">
        <v>464</v>
      </c>
      <c r="H47" s="1371">
        <v>4476</v>
      </c>
      <c r="I47" s="1368"/>
      <c r="J47" s="1371" t="s">
        <v>707</v>
      </c>
      <c r="K47" s="1371">
        <v>50</v>
      </c>
      <c r="L47" s="1371">
        <v>46</v>
      </c>
      <c r="M47" s="1371">
        <v>54</v>
      </c>
      <c r="N47" s="1371">
        <v>35</v>
      </c>
      <c r="O47" s="1371">
        <v>23</v>
      </c>
      <c r="P47" s="1371">
        <v>37</v>
      </c>
      <c r="Q47" s="1371">
        <v>245</v>
      </c>
      <c r="R47" s="1368"/>
      <c r="S47" s="1371" t="s">
        <v>707</v>
      </c>
      <c r="T47" s="1371">
        <v>38</v>
      </c>
      <c r="U47" s="1371">
        <v>34</v>
      </c>
      <c r="V47" s="1371">
        <v>24</v>
      </c>
      <c r="W47" s="1371">
        <v>42</v>
      </c>
      <c r="X47" s="1371">
        <v>21</v>
      </c>
      <c r="Y47" s="1371">
        <v>9</v>
      </c>
      <c r="Z47" s="1371">
        <v>168</v>
      </c>
      <c r="AA47" s="1368"/>
      <c r="AB47" s="1371" t="s">
        <v>707</v>
      </c>
      <c r="AC47" s="1371">
        <v>321</v>
      </c>
      <c r="AD47" s="1371">
        <v>327</v>
      </c>
      <c r="AE47" s="1371">
        <v>289</v>
      </c>
      <c r="AF47" s="1371">
        <v>258</v>
      </c>
      <c r="AG47" s="1371">
        <v>163</v>
      </c>
      <c r="AH47" s="1371">
        <v>126</v>
      </c>
      <c r="AI47" s="1371">
        <v>1484</v>
      </c>
      <c r="AJ47" s="1368"/>
      <c r="AK47" s="1371" t="s">
        <v>707</v>
      </c>
      <c r="AL47" s="1371">
        <v>33</v>
      </c>
      <c r="AM47" s="1371">
        <v>26</v>
      </c>
      <c r="AN47" s="1371">
        <v>41</v>
      </c>
      <c r="AO47" s="1371">
        <v>33</v>
      </c>
      <c r="AP47" s="1371">
        <v>17</v>
      </c>
      <c r="AQ47" s="1371">
        <v>14</v>
      </c>
      <c r="AR47" s="1371">
        <v>164</v>
      </c>
      <c r="AS47" s="1368"/>
      <c r="AT47" s="1371" t="s">
        <v>707</v>
      </c>
      <c r="AU47" s="1371">
        <v>95</v>
      </c>
      <c r="AV47" s="1371">
        <v>109</v>
      </c>
      <c r="AW47" s="1371">
        <v>131</v>
      </c>
      <c r="AX47" s="1371">
        <v>135</v>
      </c>
      <c r="AY47" s="1371">
        <v>72</v>
      </c>
      <c r="AZ47" s="1371">
        <v>86</v>
      </c>
      <c r="BA47" s="1371">
        <v>628</v>
      </c>
    </row>
    <row r="48" spans="1:53" x14ac:dyDescent="0.25">
      <c r="A48" s="1371" t="s">
        <v>792</v>
      </c>
      <c r="B48" s="1371">
        <f>SUM(B44:B47)</f>
        <v>2050</v>
      </c>
      <c r="C48" s="1371">
        <f t="shared" ref="C48:H48" si="5">SUM(C44:C47)</f>
        <v>2420</v>
      </c>
      <c r="D48" s="1371">
        <f t="shared" si="5"/>
        <v>2328</v>
      </c>
      <c r="E48" s="1371">
        <f t="shared" si="5"/>
        <v>1779</v>
      </c>
      <c r="F48" s="1371">
        <f t="shared" si="5"/>
        <v>1533</v>
      </c>
      <c r="G48" s="1371">
        <f t="shared" si="5"/>
        <v>1427</v>
      </c>
      <c r="H48" s="1371">
        <f t="shared" si="5"/>
        <v>11537</v>
      </c>
      <c r="I48" s="1368"/>
      <c r="J48" s="1371" t="s">
        <v>792</v>
      </c>
      <c r="K48" s="1371">
        <v>257</v>
      </c>
      <c r="L48" s="1371">
        <v>228</v>
      </c>
      <c r="M48" s="1371">
        <v>230</v>
      </c>
      <c r="N48" s="1371">
        <v>159</v>
      </c>
      <c r="O48" s="1371">
        <v>122</v>
      </c>
      <c r="P48" s="1371">
        <v>145</v>
      </c>
      <c r="Q48" s="1371">
        <v>1141</v>
      </c>
      <c r="R48" s="1368"/>
      <c r="S48" s="1371" t="s">
        <v>792</v>
      </c>
      <c r="T48" s="1371">
        <v>575</v>
      </c>
      <c r="U48" s="1371">
        <v>317</v>
      </c>
      <c r="V48" s="1371">
        <v>295</v>
      </c>
      <c r="W48" s="1371">
        <v>284</v>
      </c>
      <c r="X48" s="1371">
        <v>206</v>
      </c>
      <c r="Y48" s="1371">
        <v>199</v>
      </c>
      <c r="Z48" s="1371">
        <v>1876</v>
      </c>
      <c r="AA48" s="1368"/>
      <c r="AB48" s="1371" t="s">
        <v>792</v>
      </c>
      <c r="AC48" s="1371">
        <v>755</v>
      </c>
      <c r="AD48" s="1371">
        <v>687</v>
      </c>
      <c r="AE48" s="1371">
        <v>637</v>
      </c>
      <c r="AF48" s="1371">
        <v>492</v>
      </c>
      <c r="AG48" s="1371">
        <v>369</v>
      </c>
      <c r="AH48" s="1371">
        <v>327</v>
      </c>
      <c r="AI48" s="1371">
        <v>3267</v>
      </c>
      <c r="AJ48" s="1368"/>
      <c r="AK48" s="1371" t="s">
        <v>792</v>
      </c>
      <c r="AL48" s="1371">
        <v>118</v>
      </c>
      <c r="AM48" s="1371">
        <v>97</v>
      </c>
      <c r="AN48" s="1371">
        <v>90</v>
      </c>
      <c r="AO48" s="1371">
        <v>74</v>
      </c>
      <c r="AP48" s="1371">
        <v>52</v>
      </c>
      <c r="AQ48" s="1371">
        <v>56</v>
      </c>
      <c r="AR48" s="1371">
        <v>487</v>
      </c>
      <c r="AS48" s="1368"/>
      <c r="AT48" s="1371" t="s">
        <v>792</v>
      </c>
      <c r="AU48" s="1371">
        <v>300</v>
      </c>
      <c r="AV48" s="1371">
        <v>375</v>
      </c>
      <c r="AW48" s="1371">
        <v>410</v>
      </c>
      <c r="AX48" s="1371">
        <v>440</v>
      </c>
      <c r="AY48" s="1371">
        <v>260</v>
      </c>
      <c r="AZ48" s="1371">
        <v>227</v>
      </c>
      <c r="BA48" s="1371">
        <v>2012</v>
      </c>
    </row>
    <row r="50" spans="1:53" x14ac:dyDescent="0.25">
      <c r="A50" s="1372" t="s">
        <v>1383</v>
      </c>
      <c r="B50" s="1372"/>
      <c r="C50" s="1372"/>
    </row>
    <row r="51" spans="1:53" x14ac:dyDescent="0.25">
      <c r="A51" s="1373" t="s">
        <v>1362</v>
      </c>
      <c r="B51" s="1373" t="s">
        <v>1363</v>
      </c>
      <c r="C51" s="1373" t="s">
        <v>1364</v>
      </c>
      <c r="D51" s="1373" t="s">
        <v>1365</v>
      </c>
      <c r="E51" s="1373" t="s">
        <v>1366</v>
      </c>
      <c r="F51" s="1373" t="s">
        <v>1367</v>
      </c>
      <c r="G51" s="1373" t="s">
        <v>1368</v>
      </c>
      <c r="H51" s="1373" t="s">
        <v>792</v>
      </c>
      <c r="I51" s="1374"/>
      <c r="J51" s="1373" t="s">
        <v>1369</v>
      </c>
      <c r="K51" s="1373" t="s">
        <v>1363</v>
      </c>
      <c r="L51" s="1373" t="s">
        <v>1364</v>
      </c>
      <c r="M51" s="1373" t="s">
        <v>1365</v>
      </c>
      <c r="N51" s="1373" t="s">
        <v>1366</v>
      </c>
      <c r="O51" s="1373" t="s">
        <v>1367</v>
      </c>
      <c r="P51" s="1373" t="s">
        <v>1368</v>
      </c>
      <c r="Q51" s="1373" t="s">
        <v>792</v>
      </c>
      <c r="R51" s="1374"/>
      <c r="S51" s="1373" t="s">
        <v>1370</v>
      </c>
      <c r="T51" s="1373" t="s">
        <v>1363</v>
      </c>
      <c r="U51" s="1373" t="s">
        <v>1364</v>
      </c>
      <c r="V51" s="1373" t="s">
        <v>1365</v>
      </c>
      <c r="W51" s="1373" t="s">
        <v>1366</v>
      </c>
      <c r="X51" s="1373" t="s">
        <v>1367</v>
      </c>
      <c r="Y51" s="1373" t="s">
        <v>1368</v>
      </c>
      <c r="Z51" s="1373" t="s">
        <v>792</v>
      </c>
      <c r="AA51" s="1374"/>
      <c r="AB51" s="1373" t="s">
        <v>1371</v>
      </c>
      <c r="AC51" s="1373" t="s">
        <v>1363</v>
      </c>
      <c r="AD51" s="1373" t="s">
        <v>1364</v>
      </c>
      <c r="AE51" s="1373" t="s">
        <v>1365</v>
      </c>
      <c r="AF51" s="1373" t="s">
        <v>1366</v>
      </c>
      <c r="AG51" s="1373" t="s">
        <v>1367</v>
      </c>
      <c r="AH51" s="1373" t="s">
        <v>1368</v>
      </c>
      <c r="AI51" s="1373" t="s">
        <v>792</v>
      </c>
      <c r="AJ51" s="1374"/>
      <c r="AK51" s="1373" t="s">
        <v>1372</v>
      </c>
      <c r="AL51" s="1373" t="s">
        <v>1363</v>
      </c>
      <c r="AM51" s="1373" t="s">
        <v>1364</v>
      </c>
      <c r="AN51" s="1373" t="s">
        <v>1365</v>
      </c>
      <c r="AO51" s="1373" t="s">
        <v>1366</v>
      </c>
      <c r="AP51" s="1373" t="s">
        <v>1367</v>
      </c>
      <c r="AQ51" s="1373" t="s">
        <v>1368</v>
      </c>
      <c r="AR51" s="1373" t="s">
        <v>792</v>
      </c>
      <c r="AS51" s="1374"/>
      <c r="AT51" s="1373" t="s">
        <v>1336</v>
      </c>
      <c r="AU51" s="1373" t="s">
        <v>1363</v>
      </c>
      <c r="AV51" s="1373" t="s">
        <v>1364</v>
      </c>
      <c r="AW51" s="1373" t="s">
        <v>1365</v>
      </c>
      <c r="AX51" s="1373" t="s">
        <v>1366</v>
      </c>
      <c r="AY51" s="1373" t="s">
        <v>1367</v>
      </c>
      <c r="AZ51" s="1373" t="s">
        <v>1368</v>
      </c>
      <c r="BA51" s="1373" t="s">
        <v>792</v>
      </c>
    </row>
    <row r="52" spans="1:53" x14ac:dyDescent="0.25">
      <c r="A52" s="1373" t="s">
        <v>630</v>
      </c>
      <c r="B52" s="1373">
        <v>-54</v>
      </c>
      <c r="C52" s="1373">
        <v>-83</v>
      </c>
      <c r="D52" s="1373">
        <v>-64</v>
      </c>
      <c r="E52" s="1373">
        <v>-34</v>
      </c>
      <c r="F52" s="1373">
        <v>-27</v>
      </c>
      <c r="G52" s="1373">
        <v>-30</v>
      </c>
      <c r="H52" s="1373">
        <v>-292</v>
      </c>
      <c r="I52" s="1374"/>
      <c r="J52" s="1373" t="s">
        <v>630</v>
      </c>
      <c r="K52" s="1373">
        <v>-5</v>
      </c>
      <c r="L52" s="1373">
        <v>-1</v>
      </c>
      <c r="M52" s="1373">
        <v>-10</v>
      </c>
      <c r="N52" s="1373">
        <v>2</v>
      </c>
      <c r="O52" s="1373">
        <v>17</v>
      </c>
      <c r="P52" s="1373">
        <v>9</v>
      </c>
      <c r="Q52" s="1373">
        <v>12</v>
      </c>
      <c r="R52" s="1374"/>
      <c r="S52" s="1373" t="s">
        <v>630</v>
      </c>
      <c r="T52" s="1373">
        <v>3</v>
      </c>
      <c r="U52" s="1373">
        <v>9</v>
      </c>
      <c r="V52" s="1373">
        <v>5</v>
      </c>
      <c r="W52" s="1373">
        <v>5</v>
      </c>
      <c r="X52" s="1373">
        <v>5</v>
      </c>
      <c r="Y52" s="1373">
        <v>14</v>
      </c>
      <c r="Z52" s="1373">
        <v>41</v>
      </c>
      <c r="AA52" s="1374"/>
      <c r="AB52" s="1373" t="s">
        <v>630</v>
      </c>
      <c r="AC52" s="1373">
        <v>-20</v>
      </c>
      <c r="AD52" s="1373">
        <v>-3</v>
      </c>
      <c r="AE52" s="1373">
        <v>-21</v>
      </c>
      <c r="AF52" s="1373">
        <v>15</v>
      </c>
      <c r="AG52" s="1373">
        <v>-8</v>
      </c>
      <c r="AH52" s="1373">
        <v>-4</v>
      </c>
      <c r="AI52" s="1373">
        <v>-41</v>
      </c>
      <c r="AJ52" s="1374"/>
      <c r="AK52" s="1373" t="s">
        <v>630</v>
      </c>
      <c r="AL52" s="1373">
        <v>-2</v>
      </c>
      <c r="AM52" s="1373">
        <v>-3</v>
      </c>
      <c r="AN52" s="1373">
        <v>-1</v>
      </c>
      <c r="AO52" s="1373">
        <v>-4</v>
      </c>
      <c r="AP52" s="1373">
        <v>-7</v>
      </c>
      <c r="AQ52" s="1373">
        <v>-4</v>
      </c>
      <c r="AR52" s="1373">
        <v>-21</v>
      </c>
      <c r="AS52" s="1374"/>
      <c r="AT52" s="1373" t="s">
        <v>630</v>
      </c>
      <c r="AU52" s="1373">
        <v>-4</v>
      </c>
      <c r="AV52" s="1373">
        <v>-2</v>
      </c>
      <c r="AW52" s="1373">
        <v>-15</v>
      </c>
      <c r="AX52" s="1373">
        <v>-5</v>
      </c>
      <c r="AY52" s="1373">
        <v>2</v>
      </c>
      <c r="AZ52" s="1373">
        <v>-10</v>
      </c>
      <c r="BA52" s="1373">
        <v>-34</v>
      </c>
    </row>
    <row r="53" spans="1:53" x14ac:dyDescent="0.25">
      <c r="A53" s="1373" t="s">
        <v>645</v>
      </c>
      <c r="B53" s="1373">
        <v>-105</v>
      </c>
      <c r="C53" s="1373">
        <v>-221</v>
      </c>
      <c r="D53" s="1373">
        <v>-157</v>
      </c>
      <c r="E53" s="1373">
        <v>-107</v>
      </c>
      <c r="F53" s="1373">
        <v>-184</v>
      </c>
      <c r="G53" s="1373">
        <v>-134</v>
      </c>
      <c r="H53" s="1373">
        <v>-908</v>
      </c>
      <c r="I53" s="1374"/>
      <c r="J53" s="1373" t="s">
        <v>645</v>
      </c>
      <c r="K53" s="1373">
        <v>3</v>
      </c>
      <c r="L53" s="1373">
        <v>0</v>
      </c>
      <c r="M53" s="1373">
        <v>-20</v>
      </c>
      <c r="N53" s="1373">
        <v>-7</v>
      </c>
      <c r="O53" s="1373">
        <v>-9</v>
      </c>
      <c r="P53" s="1373">
        <v>-20</v>
      </c>
      <c r="Q53" s="1373">
        <v>-53</v>
      </c>
      <c r="R53" s="1374"/>
      <c r="S53" s="1373" t="s">
        <v>645</v>
      </c>
      <c r="T53" s="1373">
        <v>-12</v>
      </c>
      <c r="U53" s="1373">
        <v>6</v>
      </c>
      <c r="V53" s="1373">
        <v>-15</v>
      </c>
      <c r="W53" s="1373">
        <v>22</v>
      </c>
      <c r="X53" s="1373">
        <v>2</v>
      </c>
      <c r="Y53" s="1373">
        <v>-28</v>
      </c>
      <c r="Z53" s="1373">
        <v>-25</v>
      </c>
      <c r="AA53" s="1374"/>
      <c r="AB53" s="1373" t="s">
        <v>645</v>
      </c>
      <c r="AC53" s="1373">
        <v>-26</v>
      </c>
      <c r="AD53" s="1373">
        <v>12</v>
      </c>
      <c r="AE53" s="1373">
        <v>-5</v>
      </c>
      <c r="AF53" s="1373">
        <v>10</v>
      </c>
      <c r="AG53" s="1373">
        <v>9</v>
      </c>
      <c r="AH53" s="1373">
        <v>2</v>
      </c>
      <c r="AI53" s="1373">
        <v>2</v>
      </c>
      <c r="AJ53" s="1374"/>
      <c r="AK53" s="1373" t="s">
        <v>645</v>
      </c>
      <c r="AL53" s="1373">
        <v>-3</v>
      </c>
      <c r="AM53" s="1373">
        <v>-6</v>
      </c>
      <c r="AN53" s="1373">
        <v>-5</v>
      </c>
      <c r="AO53" s="1373">
        <v>-7</v>
      </c>
      <c r="AP53" s="1373">
        <v>-6</v>
      </c>
      <c r="AQ53" s="1373">
        <v>-8</v>
      </c>
      <c r="AR53" s="1373">
        <v>-35</v>
      </c>
      <c r="AS53" s="1374"/>
      <c r="AT53" s="1373" t="s">
        <v>645</v>
      </c>
      <c r="AU53" s="1373">
        <v>11</v>
      </c>
      <c r="AV53" s="1373">
        <v>-14</v>
      </c>
      <c r="AW53" s="1373">
        <v>-31</v>
      </c>
      <c r="AX53" s="1373">
        <v>-4</v>
      </c>
      <c r="AY53" s="1373">
        <v>-12</v>
      </c>
      <c r="AZ53" s="1373">
        <v>8</v>
      </c>
      <c r="BA53" s="1373">
        <v>-42</v>
      </c>
    </row>
    <row r="54" spans="1:53" x14ac:dyDescent="0.25">
      <c r="A54" s="1373" t="s">
        <v>675</v>
      </c>
      <c r="B54" s="1373">
        <v>-177</v>
      </c>
      <c r="C54" s="1373">
        <v>-130</v>
      </c>
      <c r="D54" s="1373">
        <v>-104</v>
      </c>
      <c r="E54" s="1373">
        <v>-88</v>
      </c>
      <c r="F54" s="1373">
        <v>-50</v>
      </c>
      <c r="G54" s="1373">
        <v>-104</v>
      </c>
      <c r="H54" s="1373">
        <v>-653</v>
      </c>
      <c r="I54" s="1374"/>
      <c r="J54" s="1373" t="s">
        <v>675</v>
      </c>
      <c r="K54" s="1373">
        <v>-1</v>
      </c>
      <c r="L54" s="1373">
        <v>-20</v>
      </c>
      <c r="M54" s="1373">
        <v>-1</v>
      </c>
      <c r="N54" s="1373">
        <v>9</v>
      </c>
      <c r="O54" s="1373">
        <v>2</v>
      </c>
      <c r="P54" s="1373">
        <v>-5</v>
      </c>
      <c r="Q54" s="1373">
        <v>-16</v>
      </c>
      <c r="R54" s="1374"/>
      <c r="S54" s="1373" t="s">
        <v>675</v>
      </c>
      <c r="T54" s="1373">
        <v>63</v>
      </c>
      <c r="U54" s="1373">
        <v>20</v>
      </c>
      <c r="V54" s="1373">
        <v>25</v>
      </c>
      <c r="W54" s="1373">
        <v>26</v>
      </c>
      <c r="X54" s="1373">
        <v>16</v>
      </c>
      <c r="Y54" s="1373">
        <v>9</v>
      </c>
      <c r="Z54" s="1373">
        <v>159</v>
      </c>
      <c r="AA54" s="1374"/>
      <c r="AB54" s="1373" t="s">
        <v>675</v>
      </c>
      <c r="AC54" s="1373">
        <v>2</v>
      </c>
      <c r="AD54" s="1373">
        <v>14</v>
      </c>
      <c r="AE54" s="1373">
        <v>-1</v>
      </c>
      <c r="AF54" s="1373">
        <v>9</v>
      </c>
      <c r="AG54" s="1373">
        <v>-2</v>
      </c>
      <c r="AH54" s="1373">
        <v>-2</v>
      </c>
      <c r="AI54" s="1373">
        <v>20</v>
      </c>
      <c r="AJ54" s="1374"/>
      <c r="AK54" s="1373" t="s">
        <v>675</v>
      </c>
      <c r="AL54" s="1373">
        <v>-12</v>
      </c>
      <c r="AM54" s="1373">
        <v>-19</v>
      </c>
      <c r="AN54" s="1373">
        <v>-10</v>
      </c>
      <c r="AO54" s="1373">
        <v>0</v>
      </c>
      <c r="AP54" s="1373">
        <v>1</v>
      </c>
      <c r="AQ54" s="1373">
        <v>-1</v>
      </c>
      <c r="AR54" s="1373">
        <v>-41</v>
      </c>
      <c r="AS54" s="1374"/>
      <c r="AT54" s="1373" t="s">
        <v>675</v>
      </c>
      <c r="AU54" s="1373">
        <v>-31</v>
      </c>
      <c r="AV54" s="1373">
        <v>-57</v>
      </c>
      <c r="AW54" s="1373">
        <v>-38</v>
      </c>
      <c r="AX54" s="1373">
        <v>-49</v>
      </c>
      <c r="AY54" s="1373">
        <v>-15</v>
      </c>
      <c r="AZ54" s="1373">
        <v>-5</v>
      </c>
      <c r="BA54" s="1373">
        <v>-195</v>
      </c>
    </row>
    <row r="55" spans="1:53" x14ac:dyDescent="0.25">
      <c r="A55" s="1373" t="s">
        <v>660</v>
      </c>
      <c r="B55" s="1373">
        <v>-306</v>
      </c>
      <c r="C55" s="1373">
        <v>-295</v>
      </c>
      <c r="D55" s="1373">
        <v>-246</v>
      </c>
      <c r="E55" s="1373">
        <v>-172</v>
      </c>
      <c r="F55" s="1373">
        <v>-175</v>
      </c>
      <c r="G55" s="1373">
        <v>-163</v>
      </c>
      <c r="H55" s="1373">
        <v>-1357</v>
      </c>
      <c r="I55" s="1374"/>
      <c r="J55" s="1373" t="s">
        <v>660</v>
      </c>
      <c r="K55" s="1373">
        <v>-2</v>
      </c>
      <c r="L55" s="1373">
        <v>3</v>
      </c>
      <c r="M55" s="1373">
        <v>-11</v>
      </c>
      <c r="N55" s="1373">
        <v>1</v>
      </c>
      <c r="O55" s="1373">
        <v>3</v>
      </c>
      <c r="P55" s="1373">
        <v>-2</v>
      </c>
      <c r="Q55" s="1373">
        <v>-8</v>
      </c>
      <c r="R55" s="1374"/>
      <c r="S55" s="1373" t="s">
        <v>660</v>
      </c>
      <c r="T55" s="1373">
        <v>26</v>
      </c>
      <c r="U55" s="1373">
        <v>7</v>
      </c>
      <c r="V55" s="1373">
        <v>17</v>
      </c>
      <c r="W55" s="1373">
        <v>-4</v>
      </c>
      <c r="X55" s="1373">
        <v>8</v>
      </c>
      <c r="Y55" s="1373">
        <v>10</v>
      </c>
      <c r="Z55" s="1373">
        <v>64</v>
      </c>
      <c r="AA55" s="1374"/>
      <c r="AB55" s="1373" t="s">
        <v>660</v>
      </c>
      <c r="AC55" s="1373">
        <v>-71</v>
      </c>
      <c r="AD55" s="1373">
        <v>-7</v>
      </c>
      <c r="AE55" s="1373">
        <v>26</v>
      </c>
      <c r="AF55" s="1373">
        <v>-21</v>
      </c>
      <c r="AG55" s="1373">
        <v>31</v>
      </c>
      <c r="AH55" s="1373">
        <v>35</v>
      </c>
      <c r="AI55" s="1373">
        <v>-7</v>
      </c>
      <c r="AJ55" s="1374"/>
      <c r="AK55" s="1373" t="s">
        <v>660</v>
      </c>
      <c r="AL55" s="1373">
        <v>10</v>
      </c>
      <c r="AM55" s="1373">
        <v>5</v>
      </c>
      <c r="AN55" s="1373">
        <v>3</v>
      </c>
      <c r="AO55" s="1373">
        <v>-4</v>
      </c>
      <c r="AP55" s="1373">
        <v>8</v>
      </c>
      <c r="AQ55" s="1373">
        <v>1</v>
      </c>
      <c r="AR55" s="1373">
        <v>23</v>
      </c>
      <c r="AS55" s="1374"/>
      <c r="AT55" s="1373" t="s">
        <v>660</v>
      </c>
      <c r="AU55" s="1373">
        <v>163</v>
      </c>
      <c r="AV55" s="1373">
        <v>220</v>
      </c>
      <c r="AW55" s="1373">
        <v>228</v>
      </c>
      <c r="AX55" s="1373">
        <v>224</v>
      </c>
      <c r="AY55" s="1373">
        <v>212</v>
      </c>
      <c r="AZ55" s="1373">
        <v>185</v>
      </c>
      <c r="BA55" s="1373">
        <v>1232</v>
      </c>
    </row>
    <row r="56" spans="1:53" x14ac:dyDescent="0.25">
      <c r="A56" s="1373" t="s">
        <v>792</v>
      </c>
      <c r="B56" s="1373">
        <v>-642</v>
      </c>
      <c r="C56" s="1373">
        <v>-729</v>
      </c>
      <c r="D56" s="1373">
        <v>-571</v>
      </c>
      <c r="E56" s="1373">
        <v>-401</v>
      </c>
      <c r="F56" s="1373">
        <v>-436</v>
      </c>
      <c r="G56" s="1373">
        <v>-431</v>
      </c>
      <c r="H56" s="1373">
        <v>-1491</v>
      </c>
      <c r="I56" s="1374"/>
      <c r="J56" s="1373" t="s">
        <v>792</v>
      </c>
      <c r="K56" s="1373">
        <v>-5</v>
      </c>
      <c r="L56" s="1373">
        <v>-18</v>
      </c>
      <c r="M56" s="1373">
        <v>-42</v>
      </c>
      <c r="N56" s="1373">
        <v>5</v>
      </c>
      <c r="O56" s="1373">
        <v>13</v>
      </c>
      <c r="P56" s="1373">
        <v>-18</v>
      </c>
      <c r="Q56" s="1373">
        <v>-65</v>
      </c>
      <c r="R56" s="1374"/>
      <c r="S56" s="1373" t="s">
        <v>792</v>
      </c>
      <c r="T56" s="1373">
        <v>80</v>
      </c>
      <c r="U56" s="1373">
        <v>42</v>
      </c>
      <c r="V56" s="1373">
        <v>32</v>
      </c>
      <c r="W56" s="1373">
        <v>49</v>
      </c>
      <c r="X56" s="1373">
        <v>31</v>
      </c>
      <c r="Y56" s="1373">
        <v>5</v>
      </c>
      <c r="Z56" s="1373">
        <v>239</v>
      </c>
      <c r="AA56" s="1374"/>
      <c r="AB56" s="1373" t="s">
        <v>792</v>
      </c>
      <c r="AC56" s="1373">
        <v>-115</v>
      </c>
      <c r="AD56" s="1373">
        <v>16</v>
      </c>
      <c r="AE56" s="1373">
        <v>-1</v>
      </c>
      <c r="AF56" s="1373">
        <v>13</v>
      </c>
      <c r="AG56" s="1373">
        <v>30</v>
      </c>
      <c r="AH56" s="1373">
        <v>31</v>
      </c>
      <c r="AI56" s="1373">
        <v>-26</v>
      </c>
      <c r="AJ56" s="1374"/>
      <c r="AK56" s="1373" t="s">
        <v>792</v>
      </c>
      <c r="AL56" s="1373">
        <v>-7</v>
      </c>
      <c r="AM56" s="1373">
        <v>-23</v>
      </c>
      <c r="AN56" s="1373">
        <v>-13</v>
      </c>
      <c r="AO56" s="1373">
        <v>-15</v>
      </c>
      <c r="AP56" s="1373">
        <v>-4</v>
      </c>
      <c r="AQ56" s="1373">
        <v>-12</v>
      </c>
      <c r="AR56" s="1373">
        <v>-74</v>
      </c>
      <c r="AS56" s="1374"/>
      <c r="AT56" s="1373" t="s">
        <v>792</v>
      </c>
      <c r="AU56" s="1373">
        <v>139</v>
      </c>
      <c r="AV56" s="1373">
        <v>147</v>
      </c>
      <c r="AW56" s="1373">
        <v>144</v>
      </c>
      <c r="AX56" s="1373">
        <v>166</v>
      </c>
      <c r="AY56" s="1373">
        <v>187</v>
      </c>
      <c r="AZ56" s="1373">
        <v>178</v>
      </c>
      <c r="BA56" s="1373">
        <v>961</v>
      </c>
    </row>
    <row r="57" spans="1:53" x14ac:dyDescent="0.25">
      <c r="A57" s="1373"/>
      <c r="B57" s="1373"/>
      <c r="C57" s="1373"/>
      <c r="D57" s="1373"/>
      <c r="E57" s="1373"/>
      <c r="F57" s="1373"/>
      <c r="G57" s="1373"/>
      <c r="H57" s="1373"/>
      <c r="I57" s="1374"/>
      <c r="J57" s="1373"/>
      <c r="K57" s="1373"/>
      <c r="L57" s="1373"/>
      <c r="M57" s="1373"/>
      <c r="N57" s="1373"/>
      <c r="O57" s="1373"/>
      <c r="P57" s="1373"/>
      <c r="Q57" s="1373"/>
      <c r="R57" s="1374"/>
      <c r="S57" s="1373"/>
      <c r="T57" s="1373"/>
      <c r="U57" s="1373"/>
      <c r="V57" s="1373"/>
      <c r="W57" s="1373"/>
      <c r="X57" s="1373"/>
      <c r="Y57" s="1373"/>
      <c r="Z57" s="1373"/>
      <c r="AA57" s="1374"/>
      <c r="AB57" s="1373"/>
      <c r="AC57" s="1373"/>
      <c r="AD57" s="1373"/>
      <c r="AE57" s="1373"/>
      <c r="AF57" s="1373"/>
      <c r="AG57" s="1373"/>
      <c r="AH57" s="1373"/>
      <c r="AI57" s="1373"/>
      <c r="AJ57" s="1374"/>
      <c r="AK57" s="1373"/>
      <c r="AL57" s="1373"/>
      <c r="AM57" s="1373"/>
      <c r="AN57" s="1373"/>
      <c r="AO57" s="1373"/>
      <c r="AP57" s="1373"/>
      <c r="AQ57" s="1373"/>
      <c r="AR57" s="1373"/>
      <c r="AS57" s="1374"/>
      <c r="AT57" s="1373"/>
      <c r="AU57" s="1373">
        <v>0</v>
      </c>
      <c r="AV57" s="1373">
        <v>0</v>
      </c>
      <c r="AW57" s="1373">
        <v>0</v>
      </c>
      <c r="AX57" s="1373">
        <v>0</v>
      </c>
      <c r="AY57" s="1373">
        <v>0</v>
      </c>
      <c r="AZ57" s="1373">
        <v>0</v>
      </c>
      <c r="BA57" s="1373">
        <v>0</v>
      </c>
    </row>
    <row r="58" spans="1:53" x14ac:dyDescent="0.25">
      <c r="A58" s="1373" t="s">
        <v>1373</v>
      </c>
      <c r="B58" s="1373" t="s">
        <v>1363</v>
      </c>
      <c r="C58" s="1373" t="s">
        <v>1364</v>
      </c>
      <c r="D58" s="1373" t="s">
        <v>1365</v>
      </c>
      <c r="E58" s="1373" t="s">
        <v>1366</v>
      </c>
      <c r="F58" s="1373" t="s">
        <v>1367</v>
      </c>
      <c r="G58" s="1373" t="s">
        <v>1368</v>
      </c>
      <c r="H58" s="1373" t="s">
        <v>792</v>
      </c>
      <c r="I58" s="1374"/>
      <c r="J58" s="1373" t="s">
        <v>1374</v>
      </c>
      <c r="K58" s="1373" t="s">
        <v>1363</v>
      </c>
      <c r="L58" s="1373" t="s">
        <v>1364</v>
      </c>
      <c r="M58" s="1373" t="s">
        <v>1365</v>
      </c>
      <c r="N58" s="1373" t="s">
        <v>1366</v>
      </c>
      <c r="O58" s="1373" t="s">
        <v>1367</v>
      </c>
      <c r="P58" s="1373" t="s">
        <v>1368</v>
      </c>
      <c r="Q58" s="1373" t="s">
        <v>792</v>
      </c>
      <c r="R58" s="1374"/>
      <c r="S58" s="1373" t="s">
        <v>1375</v>
      </c>
      <c r="T58" s="1373" t="s">
        <v>1363</v>
      </c>
      <c r="U58" s="1373" t="s">
        <v>1364</v>
      </c>
      <c r="V58" s="1373" t="s">
        <v>1365</v>
      </c>
      <c r="W58" s="1373" t="s">
        <v>1366</v>
      </c>
      <c r="X58" s="1373" t="s">
        <v>1367</v>
      </c>
      <c r="Y58" s="1373" t="s">
        <v>1368</v>
      </c>
      <c r="Z58" s="1373" t="s">
        <v>792</v>
      </c>
      <c r="AA58" s="1374"/>
      <c r="AB58" s="1373" t="s">
        <v>1376</v>
      </c>
      <c r="AC58" s="1373" t="s">
        <v>1363</v>
      </c>
      <c r="AD58" s="1373" t="s">
        <v>1364</v>
      </c>
      <c r="AE58" s="1373" t="s">
        <v>1365</v>
      </c>
      <c r="AF58" s="1373" t="s">
        <v>1366</v>
      </c>
      <c r="AG58" s="1373" t="s">
        <v>1367</v>
      </c>
      <c r="AH58" s="1373" t="s">
        <v>1368</v>
      </c>
      <c r="AI58" s="1373" t="s">
        <v>792</v>
      </c>
      <c r="AJ58" s="1374"/>
      <c r="AK58" s="1373" t="s">
        <v>1377</v>
      </c>
      <c r="AL58" s="1373" t="s">
        <v>1363</v>
      </c>
      <c r="AM58" s="1373" t="s">
        <v>1364</v>
      </c>
      <c r="AN58" s="1373" t="s">
        <v>1365</v>
      </c>
      <c r="AO58" s="1373" t="s">
        <v>1366</v>
      </c>
      <c r="AP58" s="1373" t="s">
        <v>1367</v>
      </c>
      <c r="AQ58" s="1373" t="s">
        <v>1368</v>
      </c>
      <c r="AR58" s="1373" t="s">
        <v>792</v>
      </c>
      <c r="AS58" s="1374"/>
      <c r="AT58" s="1373" t="s">
        <v>1345</v>
      </c>
      <c r="AU58" s="1373" t="s">
        <v>1363</v>
      </c>
      <c r="AV58" s="1373" t="s">
        <v>1364</v>
      </c>
      <c r="AW58" s="1373" t="s">
        <v>1365</v>
      </c>
      <c r="AX58" s="1373" t="s">
        <v>1366</v>
      </c>
      <c r="AY58" s="1373" t="s">
        <v>1367</v>
      </c>
      <c r="AZ58" s="1373" t="s">
        <v>1368</v>
      </c>
      <c r="BA58" s="1373" t="s">
        <v>792</v>
      </c>
    </row>
    <row r="59" spans="1:53" x14ac:dyDescent="0.25">
      <c r="A59" s="1373" t="s">
        <v>631</v>
      </c>
      <c r="B59" s="1373">
        <v>-14</v>
      </c>
      <c r="C59" s="1373">
        <v>-91</v>
      </c>
      <c r="D59" s="1373">
        <v>-58</v>
      </c>
      <c r="E59" s="1373">
        <v>-30</v>
      </c>
      <c r="F59" s="1373">
        <v>-20</v>
      </c>
      <c r="G59" s="1373">
        <v>-4</v>
      </c>
      <c r="H59" s="1373">
        <v>-217</v>
      </c>
      <c r="I59" s="1374"/>
      <c r="J59" s="1373" t="s">
        <v>631</v>
      </c>
      <c r="K59" s="1373">
        <v>-7</v>
      </c>
      <c r="L59" s="1373">
        <v>-1</v>
      </c>
      <c r="M59" s="1373">
        <v>-4</v>
      </c>
      <c r="N59" s="1373">
        <v>-6</v>
      </c>
      <c r="O59" s="1373">
        <v>5</v>
      </c>
      <c r="P59" s="1373">
        <v>20</v>
      </c>
      <c r="Q59" s="1373">
        <v>7</v>
      </c>
      <c r="R59" s="1374"/>
      <c r="S59" s="1373" t="s">
        <v>631</v>
      </c>
      <c r="T59" s="1373">
        <v>3</v>
      </c>
      <c r="U59" s="1373">
        <v>15</v>
      </c>
      <c r="V59" s="1373">
        <v>13</v>
      </c>
      <c r="W59" s="1373">
        <v>7</v>
      </c>
      <c r="X59" s="1373">
        <v>6</v>
      </c>
      <c r="Y59" s="1373">
        <v>27</v>
      </c>
      <c r="Z59" s="1373">
        <v>71</v>
      </c>
      <c r="AA59" s="1374"/>
      <c r="AB59" s="1373" t="s">
        <v>631</v>
      </c>
      <c r="AC59" s="1373">
        <v>-4</v>
      </c>
      <c r="AD59" s="1373">
        <v>-2</v>
      </c>
      <c r="AE59" s="1373">
        <v>10</v>
      </c>
      <c r="AF59" s="1373">
        <v>-14</v>
      </c>
      <c r="AG59" s="1373">
        <v>6</v>
      </c>
      <c r="AH59" s="1373">
        <v>1</v>
      </c>
      <c r="AI59" s="1373">
        <v>-3</v>
      </c>
      <c r="AJ59" s="1374"/>
      <c r="AK59" s="1373" t="s">
        <v>631</v>
      </c>
      <c r="AL59" s="1373">
        <v>-7</v>
      </c>
      <c r="AM59" s="1373">
        <v>1</v>
      </c>
      <c r="AN59" s="1373">
        <v>-4</v>
      </c>
      <c r="AO59" s="1373">
        <v>0</v>
      </c>
      <c r="AP59" s="1373">
        <v>-5</v>
      </c>
      <c r="AQ59" s="1373">
        <v>-10</v>
      </c>
      <c r="AR59" s="1373">
        <v>-25</v>
      </c>
      <c r="AS59" s="1374"/>
      <c r="AT59" s="1373" t="s">
        <v>631</v>
      </c>
      <c r="AU59" s="1373">
        <v>-5</v>
      </c>
      <c r="AV59" s="1373">
        <v>-12</v>
      </c>
      <c r="AW59" s="1373">
        <v>-9</v>
      </c>
      <c r="AX59" s="1373">
        <v>-26</v>
      </c>
      <c r="AY59" s="1373">
        <v>-14</v>
      </c>
      <c r="AZ59" s="1373">
        <v>-1</v>
      </c>
      <c r="BA59" s="1373">
        <v>-67</v>
      </c>
    </row>
    <row r="60" spans="1:53" x14ac:dyDescent="0.25">
      <c r="A60" s="1373" t="s">
        <v>646</v>
      </c>
      <c r="B60" s="1373">
        <v>-41</v>
      </c>
      <c r="C60" s="1373">
        <v>-110</v>
      </c>
      <c r="D60" s="1373">
        <v>-120</v>
      </c>
      <c r="E60" s="1373">
        <v>-106</v>
      </c>
      <c r="F60" s="1373">
        <v>-46</v>
      </c>
      <c r="G60" s="1373">
        <v>-32</v>
      </c>
      <c r="H60" s="1373">
        <v>-455</v>
      </c>
      <c r="I60" s="1374"/>
      <c r="J60" s="1373" t="s">
        <v>646</v>
      </c>
      <c r="K60" s="1373">
        <v>-25</v>
      </c>
      <c r="L60" s="1373">
        <v>-5</v>
      </c>
      <c r="M60" s="1373">
        <v>-3</v>
      </c>
      <c r="N60" s="1373">
        <v>-2</v>
      </c>
      <c r="O60" s="1373">
        <v>0</v>
      </c>
      <c r="P60" s="1373">
        <v>-8</v>
      </c>
      <c r="Q60" s="1373">
        <v>-43</v>
      </c>
      <c r="R60" s="1374"/>
      <c r="S60" s="1373" t="s">
        <v>646</v>
      </c>
      <c r="T60" s="1373">
        <v>-16</v>
      </c>
      <c r="U60" s="1373">
        <v>14</v>
      </c>
      <c r="V60" s="1373">
        <v>6</v>
      </c>
      <c r="W60" s="1373">
        <v>-10</v>
      </c>
      <c r="X60" s="1373">
        <v>-11</v>
      </c>
      <c r="Y60" s="1373">
        <v>-4</v>
      </c>
      <c r="Z60" s="1373">
        <v>-21</v>
      </c>
      <c r="AA60" s="1374"/>
      <c r="AB60" s="1373" t="s">
        <v>646</v>
      </c>
      <c r="AC60" s="1373">
        <v>2</v>
      </c>
      <c r="AD60" s="1373">
        <v>20</v>
      </c>
      <c r="AE60" s="1373">
        <v>5</v>
      </c>
      <c r="AF60" s="1373">
        <v>20</v>
      </c>
      <c r="AG60" s="1373">
        <v>-3</v>
      </c>
      <c r="AH60" s="1373">
        <v>-29</v>
      </c>
      <c r="AI60" s="1373">
        <v>15</v>
      </c>
      <c r="AJ60" s="1374"/>
      <c r="AK60" s="1373" t="s">
        <v>646</v>
      </c>
      <c r="AL60" s="1373">
        <v>1</v>
      </c>
      <c r="AM60" s="1373">
        <v>-9</v>
      </c>
      <c r="AN60" s="1373">
        <v>4</v>
      </c>
      <c r="AO60" s="1373">
        <v>-3</v>
      </c>
      <c r="AP60" s="1373">
        <v>-3</v>
      </c>
      <c r="AQ60" s="1373">
        <v>-7</v>
      </c>
      <c r="AR60" s="1373">
        <v>-17</v>
      </c>
      <c r="AS60" s="1374"/>
      <c r="AT60" s="1373" t="s">
        <v>646</v>
      </c>
      <c r="AU60" s="1373">
        <v>-7</v>
      </c>
      <c r="AV60" s="1373">
        <v>9</v>
      </c>
      <c r="AW60" s="1373">
        <v>3</v>
      </c>
      <c r="AX60" s="1373">
        <v>7</v>
      </c>
      <c r="AY60" s="1373">
        <v>-5</v>
      </c>
      <c r="AZ60" s="1373">
        <v>2</v>
      </c>
      <c r="BA60" s="1373">
        <v>9</v>
      </c>
    </row>
    <row r="61" spans="1:53" x14ac:dyDescent="0.25">
      <c r="A61" s="1373" t="s">
        <v>676</v>
      </c>
      <c r="B61" s="1373">
        <v>-86</v>
      </c>
      <c r="C61" s="1373">
        <v>-91</v>
      </c>
      <c r="D61" s="1373">
        <v>-69</v>
      </c>
      <c r="E61" s="1373">
        <v>-69</v>
      </c>
      <c r="F61" s="1373">
        <v>-46</v>
      </c>
      <c r="G61" s="1373">
        <v>-85</v>
      </c>
      <c r="H61" s="1373">
        <v>-446</v>
      </c>
      <c r="I61" s="1374"/>
      <c r="J61" s="1373" t="s">
        <v>676</v>
      </c>
      <c r="K61" s="1373">
        <v>-6</v>
      </c>
      <c r="L61" s="1373">
        <v>-14</v>
      </c>
      <c r="M61" s="1373">
        <v>-3</v>
      </c>
      <c r="N61" s="1373">
        <v>5</v>
      </c>
      <c r="O61" s="1373">
        <v>-7</v>
      </c>
      <c r="P61" s="1373">
        <v>-9</v>
      </c>
      <c r="Q61" s="1373">
        <v>-34</v>
      </c>
      <c r="R61" s="1374"/>
      <c r="S61" s="1373" t="s">
        <v>676</v>
      </c>
      <c r="T61" s="1373">
        <v>38</v>
      </c>
      <c r="U61" s="1373">
        <v>33</v>
      </c>
      <c r="V61" s="1373">
        <v>26</v>
      </c>
      <c r="W61" s="1373">
        <v>19</v>
      </c>
      <c r="X61" s="1373">
        <v>5</v>
      </c>
      <c r="Y61" s="1373">
        <v>-1</v>
      </c>
      <c r="Z61" s="1373">
        <v>120</v>
      </c>
      <c r="AA61" s="1374"/>
      <c r="AB61" s="1373" t="s">
        <v>676</v>
      </c>
      <c r="AC61" s="1373">
        <v>-12</v>
      </c>
      <c r="AD61" s="1373">
        <v>-2</v>
      </c>
      <c r="AE61" s="1373">
        <v>-6</v>
      </c>
      <c r="AF61" s="1373">
        <v>9</v>
      </c>
      <c r="AG61" s="1373">
        <v>18</v>
      </c>
      <c r="AH61" s="1373">
        <v>1</v>
      </c>
      <c r="AI61" s="1373">
        <v>8</v>
      </c>
      <c r="AJ61" s="1374"/>
      <c r="AK61" s="1373" t="s">
        <v>676</v>
      </c>
      <c r="AL61" s="1373">
        <v>-15</v>
      </c>
      <c r="AM61" s="1373">
        <v>-8</v>
      </c>
      <c r="AN61" s="1373">
        <v>-4</v>
      </c>
      <c r="AO61" s="1373">
        <v>-2</v>
      </c>
      <c r="AP61" s="1373">
        <v>0</v>
      </c>
      <c r="AQ61" s="1373">
        <v>-2</v>
      </c>
      <c r="AR61" s="1373">
        <v>-31</v>
      </c>
      <c r="AS61" s="1374"/>
      <c r="AT61" s="1373" t="s">
        <v>676</v>
      </c>
      <c r="AU61" s="1373">
        <v>-24</v>
      </c>
      <c r="AV61" s="1373">
        <v>-19</v>
      </c>
      <c r="AW61" s="1373">
        <v>-20</v>
      </c>
      <c r="AX61" s="1373">
        <v>-41</v>
      </c>
      <c r="AY61" s="1373">
        <v>-9</v>
      </c>
      <c r="AZ61" s="1373">
        <v>-8</v>
      </c>
      <c r="BA61" s="1373">
        <v>-121</v>
      </c>
    </row>
    <row r="62" spans="1:53" x14ac:dyDescent="0.25">
      <c r="A62" s="1373" t="s">
        <v>661</v>
      </c>
      <c r="B62" s="1373">
        <v>-185</v>
      </c>
      <c r="C62" s="1373">
        <v>-205</v>
      </c>
      <c r="D62" s="1373">
        <v>-143</v>
      </c>
      <c r="E62" s="1373">
        <v>-102</v>
      </c>
      <c r="F62" s="1373">
        <v>-59</v>
      </c>
      <c r="G62" s="1373">
        <v>-109</v>
      </c>
      <c r="H62" s="1373">
        <v>-803</v>
      </c>
      <c r="I62" s="1374"/>
      <c r="J62" s="1373" t="s">
        <v>661</v>
      </c>
      <c r="K62" s="1373">
        <v>3</v>
      </c>
      <c r="L62" s="1373">
        <v>4</v>
      </c>
      <c r="M62" s="1373">
        <v>-6</v>
      </c>
      <c r="N62" s="1373">
        <v>13</v>
      </c>
      <c r="O62" s="1373">
        <v>2</v>
      </c>
      <c r="P62" s="1373">
        <v>-3</v>
      </c>
      <c r="Q62" s="1373">
        <v>13</v>
      </c>
      <c r="R62" s="1374"/>
      <c r="S62" s="1373" t="s">
        <v>661</v>
      </c>
      <c r="T62" s="1373">
        <v>14</v>
      </c>
      <c r="U62" s="1373">
        <v>7</v>
      </c>
      <c r="V62" s="1373">
        <v>2</v>
      </c>
      <c r="W62" s="1373">
        <v>14</v>
      </c>
      <c r="X62" s="1373">
        <v>5</v>
      </c>
      <c r="Y62" s="1373">
        <v>11</v>
      </c>
      <c r="Z62" s="1373">
        <v>53</v>
      </c>
      <c r="AA62" s="1374"/>
      <c r="AB62" s="1373" t="s">
        <v>661</v>
      </c>
      <c r="AC62" s="1373">
        <v>-5</v>
      </c>
      <c r="AD62" s="1373">
        <v>-11</v>
      </c>
      <c r="AE62" s="1373">
        <v>45</v>
      </c>
      <c r="AF62" s="1373">
        <v>38</v>
      </c>
      <c r="AG62" s="1373">
        <v>15</v>
      </c>
      <c r="AH62" s="1373">
        <v>2</v>
      </c>
      <c r="AI62" s="1373">
        <v>84</v>
      </c>
      <c r="AJ62" s="1374"/>
      <c r="AK62" s="1373" t="s">
        <v>661</v>
      </c>
      <c r="AL62" s="1373">
        <v>3</v>
      </c>
      <c r="AM62" s="1373">
        <v>0</v>
      </c>
      <c r="AN62" s="1373">
        <v>-11</v>
      </c>
      <c r="AO62" s="1373">
        <v>-8</v>
      </c>
      <c r="AP62" s="1373">
        <v>-2</v>
      </c>
      <c r="AQ62" s="1373">
        <v>4</v>
      </c>
      <c r="AR62" s="1373">
        <v>-14</v>
      </c>
      <c r="AS62" s="1374"/>
      <c r="AT62" s="1373" t="s">
        <v>661</v>
      </c>
      <c r="AU62" s="1373">
        <v>89</v>
      </c>
      <c r="AV62" s="1373">
        <v>86</v>
      </c>
      <c r="AW62" s="1373">
        <v>124</v>
      </c>
      <c r="AX62" s="1373">
        <v>111</v>
      </c>
      <c r="AY62" s="1373">
        <v>145</v>
      </c>
      <c r="AZ62" s="1373">
        <v>120</v>
      </c>
      <c r="BA62" s="1373">
        <v>675</v>
      </c>
    </row>
    <row r="63" spans="1:53" x14ac:dyDescent="0.25">
      <c r="A63" s="1373" t="s">
        <v>792</v>
      </c>
      <c r="B63" s="1373">
        <v>-326</v>
      </c>
      <c r="C63" s="1373">
        <v>-497</v>
      </c>
      <c r="D63" s="1373">
        <v>-390</v>
      </c>
      <c r="E63" s="1373">
        <v>-307</v>
      </c>
      <c r="F63" s="1373">
        <v>-171</v>
      </c>
      <c r="G63" s="1373">
        <v>-230</v>
      </c>
      <c r="H63" s="1373">
        <v>-1921</v>
      </c>
      <c r="I63" s="1374"/>
      <c r="J63" s="1373" t="s">
        <v>792</v>
      </c>
      <c r="K63" s="1373">
        <v>-35</v>
      </c>
      <c r="L63" s="1373">
        <v>-16</v>
      </c>
      <c r="M63" s="1373">
        <v>-16</v>
      </c>
      <c r="N63" s="1373">
        <v>10</v>
      </c>
      <c r="O63" s="1373">
        <v>0</v>
      </c>
      <c r="P63" s="1373">
        <v>0</v>
      </c>
      <c r="Q63" s="1373">
        <v>-57</v>
      </c>
      <c r="R63" s="1374"/>
      <c r="S63" s="1373" t="s">
        <v>792</v>
      </c>
      <c r="T63" s="1373">
        <v>39</v>
      </c>
      <c r="U63" s="1373">
        <v>69</v>
      </c>
      <c r="V63" s="1373">
        <v>47</v>
      </c>
      <c r="W63" s="1373">
        <v>30</v>
      </c>
      <c r="X63" s="1373">
        <v>5</v>
      </c>
      <c r="Y63" s="1373">
        <v>33</v>
      </c>
      <c r="Z63" s="1373">
        <v>223</v>
      </c>
      <c r="AA63" s="1374"/>
      <c r="AB63" s="1373" t="s">
        <v>792</v>
      </c>
      <c r="AC63" s="1373">
        <v>-19</v>
      </c>
      <c r="AD63" s="1373">
        <v>5</v>
      </c>
      <c r="AE63" s="1373">
        <v>54</v>
      </c>
      <c r="AF63" s="1373">
        <v>53</v>
      </c>
      <c r="AG63" s="1373">
        <v>36</v>
      </c>
      <c r="AH63" s="1373">
        <v>-25</v>
      </c>
      <c r="AI63" s="1373">
        <v>104</v>
      </c>
      <c r="AJ63" s="1374"/>
      <c r="AK63" s="1373" t="s">
        <v>792</v>
      </c>
      <c r="AL63" s="1373">
        <v>-18</v>
      </c>
      <c r="AM63" s="1373">
        <v>-16</v>
      </c>
      <c r="AN63" s="1373">
        <v>-15</v>
      </c>
      <c r="AO63" s="1373">
        <v>-13</v>
      </c>
      <c r="AP63" s="1373">
        <v>-10</v>
      </c>
      <c r="AQ63" s="1373">
        <v>-15</v>
      </c>
      <c r="AR63" s="1373">
        <v>-87</v>
      </c>
      <c r="AS63" s="1374"/>
      <c r="AT63" s="1373" t="s">
        <v>792</v>
      </c>
      <c r="AU63" s="1373">
        <v>53</v>
      </c>
      <c r="AV63" s="1373">
        <v>64</v>
      </c>
      <c r="AW63" s="1373">
        <v>98</v>
      </c>
      <c r="AX63" s="1373">
        <v>51</v>
      </c>
      <c r="AY63" s="1373">
        <v>117</v>
      </c>
      <c r="AZ63" s="1373">
        <v>113</v>
      </c>
      <c r="BA63" s="1373">
        <v>496</v>
      </c>
    </row>
    <row r="64" spans="1:53" x14ac:dyDescent="0.25">
      <c r="A64" s="1373"/>
      <c r="B64" s="1373"/>
      <c r="C64" s="1373"/>
      <c r="D64" s="1373"/>
      <c r="E64" s="1373"/>
      <c r="F64" s="1373"/>
      <c r="G64" s="1373"/>
      <c r="H64" s="1373"/>
      <c r="I64" s="1374"/>
      <c r="J64" s="1373"/>
      <c r="K64" s="1373"/>
      <c r="L64" s="1373"/>
      <c r="M64" s="1373"/>
      <c r="N64" s="1373"/>
      <c r="O64" s="1373"/>
      <c r="P64" s="1373"/>
      <c r="Q64" s="1373"/>
      <c r="R64" s="1374"/>
      <c r="S64" s="1373"/>
      <c r="T64" s="1373"/>
      <c r="U64" s="1373"/>
      <c r="V64" s="1373"/>
      <c r="W64" s="1373"/>
      <c r="X64" s="1373"/>
      <c r="Y64" s="1373"/>
      <c r="Z64" s="1373"/>
      <c r="AA64" s="1374"/>
      <c r="AB64" s="1373"/>
      <c r="AC64" s="1373"/>
      <c r="AD64" s="1373"/>
      <c r="AE64" s="1373"/>
      <c r="AF64" s="1373"/>
      <c r="AG64" s="1373"/>
      <c r="AH64" s="1373"/>
      <c r="AI64" s="1373"/>
      <c r="AJ64" s="1374"/>
      <c r="AK64" s="1373"/>
      <c r="AL64" s="1373"/>
      <c r="AM64" s="1373"/>
      <c r="AN64" s="1373"/>
      <c r="AO64" s="1373"/>
      <c r="AP64" s="1373"/>
      <c r="AQ64" s="1373"/>
      <c r="AR64" s="1373"/>
      <c r="AS64" s="1374"/>
      <c r="AT64" s="1373"/>
      <c r="AU64" s="1373">
        <v>0</v>
      </c>
      <c r="AV64" s="1373">
        <v>0</v>
      </c>
      <c r="AW64" s="1373">
        <v>0</v>
      </c>
      <c r="AX64" s="1373">
        <v>0</v>
      </c>
      <c r="AY64" s="1373">
        <v>0</v>
      </c>
      <c r="AZ64" s="1373">
        <v>0</v>
      </c>
      <c r="BA64" s="1373">
        <v>0</v>
      </c>
    </row>
    <row r="65" spans="1:53" x14ac:dyDescent="0.25">
      <c r="A65" s="1373" t="s">
        <v>1378</v>
      </c>
      <c r="B65" s="1373" t="s">
        <v>1325</v>
      </c>
      <c r="C65" s="1373" t="s">
        <v>789</v>
      </c>
      <c r="D65" s="1373" t="s">
        <v>1326</v>
      </c>
      <c r="E65" s="1373" t="s">
        <v>790</v>
      </c>
      <c r="F65" s="1373" t="s">
        <v>1327</v>
      </c>
      <c r="G65" s="1373" t="s">
        <v>1328</v>
      </c>
      <c r="H65" s="1373" t="s">
        <v>792</v>
      </c>
      <c r="I65" s="1374"/>
      <c r="J65" s="1373" t="s">
        <v>1379</v>
      </c>
      <c r="K65" s="1373" t="s">
        <v>1363</v>
      </c>
      <c r="L65" s="1373" t="s">
        <v>1364</v>
      </c>
      <c r="M65" s="1373" t="s">
        <v>1365</v>
      </c>
      <c r="N65" s="1373" t="s">
        <v>1366</v>
      </c>
      <c r="O65" s="1373" t="s">
        <v>1367</v>
      </c>
      <c r="P65" s="1373" t="s">
        <v>1368</v>
      </c>
      <c r="Q65" s="1373" t="s">
        <v>792</v>
      </c>
      <c r="R65" s="1374"/>
      <c r="S65" s="1373" t="s">
        <v>1380</v>
      </c>
      <c r="T65" s="1373" t="s">
        <v>1363</v>
      </c>
      <c r="U65" s="1373" t="s">
        <v>1364</v>
      </c>
      <c r="V65" s="1373" t="s">
        <v>1365</v>
      </c>
      <c r="W65" s="1373" t="s">
        <v>1366</v>
      </c>
      <c r="X65" s="1373" t="s">
        <v>1367</v>
      </c>
      <c r="Y65" s="1373" t="s">
        <v>1368</v>
      </c>
      <c r="Z65" s="1373" t="s">
        <v>792</v>
      </c>
      <c r="AA65" s="1374"/>
      <c r="AB65" s="1373" t="s">
        <v>1381</v>
      </c>
      <c r="AC65" s="1373" t="s">
        <v>1363</v>
      </c>
      <c r="AD65" s="1373" t="s">
        <v>1364</v>
      </c>
      <c r="AE65" s="1373" t="s">
        <v>1365</v>
      </c>
      <c r="AF65" s="1373" t="s">
        <v>1366</v>
      </c>
      <c r="AG65" s="1373" t="s">
        <v>1367</v>
      </c>
      <c r="AH65" s="1373" t="s">
        <v>1368</v>
      </c>
      <c r="AI65" s="1373" t="s">
        <v>792</v>
      </c>
      <c r="AJ65" s="1374"/>
      <c r="AK65" s="1373" t="s">
        <v>1382</v>
      </c>
      <c r="AL65" s="1373" t="s">
        <v>1363</v>
      </c>
      <c r="AM65" s="1373" t="s">
        <v>1364</v>
      </c>
      <c r="AN65" s="1373" t="s">
        <v>1365</v>
      </c>
      <c r="AO65" s="1373" t="s">
        <v>1366</v>
      </c>
      <c r="AP65" s="1373" t="s">
        <v>1367</v>
      </c>
      <c r="AQ65" s="1373" t="s">
        <v>1368</v>
      </c>
      <c r="AR65" s="1373" t="s">
        <v>792</v>
      </c>
      <c r="AS65" s="1374"/>
      <c r="AT65" s="1373" t="s">
        <v>1361</v>
      </c>
      <c r="AU65" s="1373" t="s">
        <v>1363</v>
      </c>
      <c r="AV65" s="1373" t="s">
        <v>1364</v>
      </c>
      <c r="AW65" s="1373" t="s">
        <v>1365</v>
      </c>
      <c r="AX65" s="1373" t="s">
        <v>1366</v>
      </c>
      <c r="AY65" s="1373" t="s">
        <v>1367</v>
      </c>
      <c r="AZ65" s="1373" t="s">
        <v>1368</v>
      </c>
      <c r="BA65" s="1373" t="s">
        <v>792</v>
      </c>
    </row>
    <row r="66" spans="1:53" x14ac:dyDescent="0.25">
      <c r="A66" s="1373" t="s">
        <v>705</v>
      </c>
      <c r="B66" s="1373">
        <v>-68</v>
      </c>
      <c r="C66" s="1373">
        <v>-174</v>
      </c>
      <c r="D66" s="1373">
        <v>-122</v>
      </c>
      <c r="E66" s="1373">
        <v>-64</v>
      </c>
      <c r="F66" s="1373">
        <v>-47</v>
      </c>
      <c r="G66" s="1373">
        <v>-34</v>
      </c>
      <c r="H66" s="1373">
        <v>-509</v>
      </c>
      <c r="I66" s="1374"/>
      <c r="J66" s="1373" t="s">
        <v>705</v>
      </c>
      <c r="K66" s="1373">
        <v>-12</v>
      </c>
      <c r="L66" s="1373">
        <v>-2</v>
      </c>
      <c r="M66" s="1373">
        <v>-14</v>
      </c>
      <c r="N66" s="1373">
        <v>-4</v>
      </c>
      <c r="O66" s="1373">
        <v>22</v>
      </c>
      <c r="P66" s="1373">
        <v>29</v>
      </c>
      <c r="Q66" s="1373">
        <v>19</v>
      </c>
      <c r="R66" s="1374"/>
      <c r="S66" s="1373" t="s">
        <v>705</v>
      </c>
      <c r="T66" s="1373">
        <v>6</v>
      </c>
      <c r="U66" s="1373">
        <v>24</v>
      </c>
      <c r="V66" s="1373">
        <v>18</v>
      </c>
      <c r="W66" s="1373">
        <v>12</v>
      </c>
      <c r="X66" s="1373">
        <v>11</v>
      </c>
      <c r="Y66" s="1373">
        <v>41</v>
      </c>
      <c r="Z66" s="1373">
        <v>112</v>
      </c>
      <c r="AA66" s="1374"/>
      <c r="AB66" s="1373" t="s">
        <v>705</v>
      </c>
      <c r="AC66" s="1373">
        <v>-24</v>
      </c>
      <c r="AD66" s="1373">
        <v>-5</v>
      </c>
      <c r="AE66" s="1373">
        <v>-11</v>
      </c>
      <c r="AF66" s="1373">
        <v>1</v>
      </c>
      <c r="AG66" s="1373">
        <v>-2</v>
      </c>
      <c r="AH66" s="1373">
        <v>-3</v>
      </c>
      <c r="AI66" s="1373">
        <v>-44</v>
      </c>
      <c r="AJ66" s="1374"/>
      <c r="AK66" s="1373" t="s">
        <v>705</v>
      </c>
      <c r="AL66" s="1373">
        <v>-9</v>
      </c>
      <c r="AM66" s="1373">
        <v>-2</v>
      </c>
      <c r="AN66" s="1373">
        <v>-5</v>
      </c>
      <c r="AO66" s="1373">
        <v>-4</v>
      </c>
      <c r="AP66" s="1373">
        <v>-12</v>
      </c>
      <c r="AQ66" s="1373">
        <v>-14</v>
      </c>
      <c r="AR66" s="1373">
        <v>-46</v>
      </c>
      <c r="AS66" s="1374"/>
      <c r="AT66" s="1373" t="s">
        <v>705</v>
      </c>
      <c r="AU66" s="1373">
        <v>-9</v>
      </c>
      <c r="AV66" s="1373">
        <v>-14</v>
      </c>
      <c r="AW66" s="1373">
        <v>-24</v>
      </c>
      <c r="AX66" s="1373">
        <v>-31</v>
      </c>
      <c r="AY66" s="1373">
        <v>-12</v>
      </c>
      <c r="AZ66" s="1373">
        <v>-11</v>
      </c>
      <c r="BA66" s="1373">
        <v>-101</v>
      </c>
    </row>
    <row r="67" spans="1:53" x14ac:dyDescent="0.25">
      <c r="A67" s="1373" t="s">
        <v>706</v>
      </c>
      <c r="B67" s="1373">
        <v>-146</v>
      </c>
      <c r="C67" s="1373">
        <v>-331</v>
      </c>
      <c r="D67" s="1373">
        <v>-277</v>
      </c>
      <c r="E67" s="1373">
        <v>-213</v>
      </c>
      <c r="F67" s="1373">
        <v>-230</v>
      </c>
      <c r="G67" s="1373">
        <v>-166</v>
      </c>
      <c r="H67" s="1373">
        <v>-1363</v>
      </c>
      <c r="I67" s="1374"/>
      <c r="J67" s="1373" t="s">
        <v>706</v>
      </c>
      <c r="K67" s="1373">
        <v>-22</v>
      </c>
      <c r="L67" s="1373">
        <v>-5</v>
      </c>
      <c r="M67" s="1373">
        <v>-23</v>
      </c>
      <c r="N67" s="1373">
        <v>-9</v>
      </c>
      <c r="O67" s="1373">
        <v>-9</v>
      </c>
      <c r="P67" s="1373">
        <v>-28</v>
      </c>
      <c r="Q67" s="1373">
        <v>-96</v>
      </c>
      <c r="R67" s="1374"/>
      <c r="S67" s="1373" t="s">
        <v>706</v>
      </c>
      <c r="T67" s="1373">
        <v>-28</v>
      </c>
      <c r="U67" s="1373">
        <v>20</v>
      </c>
      <c r="V67" s="1373">
        <v>-9</v>
      </c>
      <c r="W67" s="1373">
        <v>12</v>
      </c>
      <c r="X67" s="1373">
        <v>-9</v>
      </c>
      <c r="Y67" s="1373">
        <v>-32</v>
      </c>
      <c r="Z67" s="1373">
        <v>-46</v>
      </c>
      <c r="AA67" s="1374"/>
      <c r="AB67" s="1373" t="s">
        <v>706</v>
      </c>
      <c r="AC67" s="1373">
        <v>-24</v>
      </c>
      <c r="AD67" s="1373">
        <v>32</v>
      </c>
      <c r="AE67" s="1373">
        <v>0</v>
      </c>
      <c r="AF67" s="1373">
        <v>30</v>
      </c>
      <c r="AG67" s="1373">
        <v>6</v>
      </c>
      <c r="AH67" s="1373">
        <v>-27</v>
      </c>
      <c r="AI67" s="1373">
        <v>17</v>
      </c>
      <c r="AJ67" s="1374"/>
      <c r="AK67" s="1373" t="s">
        <v>706</v>
      </c>
      <c r="AL67" s="1373">
        <v>-2</v>
      </c>
      <c r="AM67" s="1373">
        <v>-15</v>
      </c>
      <c r="AN67" s="1373">
        <v>-1</v>
      </c>
      <c r="AO67" s="1373">
        <v>-10</v>
      </c>
      <c r="AP67" s="1373">
        <v>-9</v>
      </c>
      <c r="AQ67" s="1373">
        <v>-15</v>
      </c>
      <c r="AR67" s="1373">
        <v>-52</v>
      </c>
      <c r="AS67" s="1374"/>
      <c r="AT67" s="1373" t="s">
        <v>706</v>
      </c>
      <c r="AU67" s="1373">
        <v>4</v>
      </c>
      <c r="AV67" s="1373">
        <v>-5</v>
      </c>
      <c r="AW67" s="1373">
        <v>-28</v>
      </c>
      <c r="AX67" s="1373">
        <v>3</v>
      </c>
      <c r="AY67" s="1373">
        <v>-17</v>
      </c>
      <c r="AZ67" s="1373">
        <v>10</v>
      </c>
      <c r="BA67" s="1373">
        <v>-33</v>
      </c>
    </row>
    <row r="68" spans="1:53" x14ac:dyDescent="0.25">
      <c r="A68" s="1373" t="s">
        <v>708</v>
      </c>
      <c r="B68" s="1373">
        <v>-263</v>
      </c>
      <c r="C68" s="1373">
        <v>-221</v>
      </c>
      <c r="D68" s="1373">
        <v>-173</v>
      </c>
      <c r="E68" s="1373">
        <v>-157</v>
      </c>
      <c r="F68" s="1373">
        <v>-96</v>
      </c>
      <c r="G68" s="1373">
        <v>-189</v>
      </c>
      <c r="H68" s="1373">
        <v>-1099</v>
      </c>
      <c r="I68" s="1374"/>
      <c r="J68" s="1373" t="s">
        <v>708</v>
      </c>
      <c r="K68" s="1373">
        <v>-7</v>
      </c>
      <c r="L68" s="1373">
        <v>-34</v>
      </c>
      <c r="M68" s="1373">
        <v>-4</v>
      </c>
      <c r="N68" s="1373">
        <v>14</v>
      </c>
      <c r="O68" s="1373">
        <v>-5</v>
      </c>
      <c r="P68" s="1373">
        <v>-14</v>
      </c>
      <c r="Q68" s="1373">
        <v>-50</v>
      </c>
      <c r="R68" s="1374"/>
      <c r="S68" s="1373" t="s">
        <v>708</v>
      </c>
      <c r="T68" s="1373">
        <v>101</v>
      </c>
      <c r="U68" s="1373">
        <v>53</v>
      </c>
      <c r="V68" s="1373">
        <v>51</v>
      </c>
      <c r="W68" s="1373">
        <v>45</v>
      </c>
      <c r="X68" s="1373">
        <v>21</v>
      </c>
      <c r="Y68" s="1373">
        <v>8</v>
      </c>
      <c r="Z68" s="1373">
        <v>279</v>
      </c>
      <c r="AA68" s="1374"/>
      <c r="AB68" s="1373" t="s">
        <v>708</v>
      </c>
      <c r="AC68" s="1373">
        <v>-10</v>
      </c>
      <c r="AD68" s="1373">
        <v>12</v>
      </c>
      <c r="AE68" s="1373">
        <v>-7</v>
      </c>
      <c r="AF68" s="1373">
        <v>18</v>
      </c>
      <c r="AG68" s="1373">
        <v>16</v>
      </c>
      <c r="AH68" s="1373">
        <v>-1</v>
      </c>
      <c r="AI68" s="1373">
        <v>28</v>
      </c>
      <c r="AJ68" s="1374"/>
      <c r="AK68" s="1373" t="s">
        <v>708</v>
      </c>
      <c r="AL68" s="1373">
        <v>-27</v>
      </c>
      <c r="AM68" s="1373">
        <v>-27</v>
      </c>
      <c r="AN68" s="1373">
        <v>-14</v>
      </c>
      <c r="AO68" s="1373">
        <v>-2</v>
      </c>
      <c r="AP68" s="1373">
        <v>1</v>
      </c>
      <c r="AQ68" s="1373">
        <v>-3</v>
      </c>
      <c r="AR68" s="1373">
        <v>-72</v>
      </c>
      <c r="AS68" s="1374"/>
      <c r="AT68" s="1373" t="s">
        <v>708</v>
      </c>
      <c r="AU68" s="1373">
        <v>-55</v>
      </c>
      <c r="AV68" s="1373">
        <v>-76</v>
      </c>
      <c r="AW68" s="1373">
        <v>-58</v>
      </c>
      <c r="AX68" s="1373">
        <v>-90</v>
      </c>
      <c r="AY68" s="1373">
        <v>-24</v>
      </c>
      <c r="AZ68" s="1373">
        <v>-13</v>
      </c>
      <c r="BA68" s="1373">
        <v>-316</v>
      </c>
    </row>
    <row r="69" spans="1:53" x14ac:dyDescent="0.25">
      <c r="A69" s="1373" t="s">
        <v>707</v>
      </c>
      <c r="B69" s="1373">
        <v>-491</v>
      </c>
      <c r="C69" s="1373">
        <v>-500</v>
      </c>
      <c r="D69" s="1373">
        <v>-389</v>
      </c>
      <c r="E69" s="1373">
        <v>-274</v>
      </c>
      <c r="F69" s="1373">
        <v>-234</v>
      </c>
      <c r="G69" s="1373">
        <v>-272</v>
      </c>
      <c r="H69" s="1373">
        <v>-2160</v>
      </c>
      <c r="I69" s="1374"/>
      <c r="J69" s="1373" t="s">
        <v>707</v>
      </c>
      <c r="K69" s="1373">
        <v>1</v>
      </c>
      <c r="L69" s="1373">
        <v>7</v>
      </c>
      <c r="M69" s="1373">
        <v>-17</v>
      </c>
      <c r="N69" s="1373">
        <v>14</v>
      </c>
      <c r="O69" s="1373">
        <v>5</v>
      </c>
      <c r="P69" s="1373">
        <v>-5</v>
      </c>
      <c r="Q69" s="1373">
        <v>5</v>
      </c>
      <c r="R69" s="1374"/>
      <c r="S69" s="1373" t="s">
        <v>707</v>
      </c>
      <c r="T69" s="1373">
        <v>40</v>
      </c>
      <c r="U69" s="1373">
        <v>14</v>
      </c>
      <c r="V69" s="1373">
        <v>19</v>
      </c>
      <c r="W69" s="1373">
        <v>10</v>
      </c>
      <c r="X69" s="1373">
        <v>13</v>
      </c>
      <c r="Y69" s="1373">
        <v>21</v>
      </c>
      <c r="Z69" s="1373">
        <v>117</v>
      </c>
      <c r="AA69" s="1374"/>
      <c r="AB69" s="1373" t="s">
        <v>707</v>
      </c>
      <c r="AC69" s="1373">
        <v>-76</v>
      </c>
      <c r="AD69" s="1373">
        <v>-18</v>
      </c>
      <c r="AE69" s="1373">
        <v>71</v>
      </c>
      <c r="AF69" s="1373">
        <v>17</v>
      </c>
      <c r="AG69" s="1373">
        <v>46</v>
      </c>
      <c r="AH69" s="1373">
        <v>37</v>
      </c>
      <c r="AI69" s="1373">
        <v>77</v>
      </c>
      <c r="AJ69" s="1374"/>
      <c r="AK69" s="1373" t="s">
        <v>707</v>
      </c>
      <c r="AL69" s="1373">
        <v>13</v>
      </c>
      <c r="AM69" s="1373">
        <v>5</v>
      </c>
      <c r="AN69" s="1373">
        <v>-8</v>
      </c>
      <c r="AO69" s="1373">
        <v>-12</v>
      </c>
      <c r="AP69" s="1373">
        <v>6</v>
      </c>
      <c r="AQ69" s="1373">
        <v>5</v>
      </c>
      <c r="AR69" s="1373">
        <v>9</v>
      </c>
      <c r="AS69" s="1374"/>
      <c r="AT69" s="1373" t="s">
        <v>707</v>
      </c>
      <c r="AU69" s="1373">
        <v>252</v>
      </c>
      <c r="AV69" s="1373">
        <v>306</v>
      </c>
      <c r="AW69" s="1373">
        <v>352</v>
      </c>
      <c r="AX69" s="1373">
        <v>335</v>
      </c>
      <c r="AY69" s="1373">
        <v>357</v>
      </c>
      <c r="AZ69" s="1373">
        <v>305</v>
      </c>
      <c r="BA69" s="1373">
        <v>1907</v>
      </c>
    </row>
    <row r="70" spans="1:53" x14ac:dyDescent="0.25">
      <c r="A70" s="1373" t="s">
        <v>792</v>
      </c>
      <c r="B70" s="1373">
        <v>-968</v>
      </c>
      <c r="C70" s="1373">
        <v>-1226</v>
      </c>
      <c r="D70" s="1373">
        <v>-961</v>
      </c>
      <c r="E70" s="1373">
        <v>-708</v>
      </c>
      <c r="F70" s="1373">
        <v>-607</v>
      </c>
      <c r="G70" s="1373">
        <v>-661</v>
      </c>
      <c r="H70" s="1373">
        <v>-3412</v>
      </c>
      <c r="I70" s="1374"/>
      <c r="J70" s="1373" t="s">
        <v>792</v>
      </c>
      <c r="K70" s="1373">
        <v>-40</v>
      </c>
      <c r="L70" s="1373">
        <v>-34</v>
      </c>
      <c r="M70" s="1373">
        <v>-58</v>
      </c>
      <c r="N70" s="1373">
        <v>15</v>
      </c>
      <c r="O70" s="1373">
        <v>13</v>
      </c>
      <c r="P70" s="1373">
        <v>-18</v>
      </c>
      <c r="Q70" s="1373">
        <v>-122</v>
      </c>
      <c r="R70" s="1374"/>
      <c r="S70" s="1373" t="s">
        <v>792</v>
      </c>
      <c r="T70" s="1373">
        <v>119</v>
      </c>
      <c r="U70" s="1373">
        <v>111</v>
      </c>
      <c r="V70" s="1373">
        <v>79</v>
      </c>
      <c r="W70" s="1373">
        <v>79</v>
      </c>
      <c r="X70" s="1373">
        <v>36</v>
      </c>
      <c r="Y70" s="1373">
        <v>38</v>
      </c>
      <c r="Z70" s="1373">
        <v>462</v>
      </c>
      <c r="AA70" s="1374"/>
      <c r="AB70" s="1373" t="s">
        <v>792</v>
      </c>
      <c r="AC70" s="1373">
        <v>-134</v>
      </c>
      <c r="AD70" s="1373">
        <v>21</v>
      </c>
      <c r="AE70" s="1373">
        <v>53</v>
      </c>
      <c r="AF70" s="1373">
        <v>66</v>
      </c>
      <c r="AG70" s="1373">
        <v>66</v>
      </c>
      <c r="AH70" s="1373">
        <v>6</v>
      </c>
      <c r="AI70" s="1373">
        <v>78</v>
      </c>
      <c r="AJ70" s="1374"/>
      <c r="AK70" s="1373" t="s">
        <v>792</v>
      </c>
      <c r="AL70" s="1373">
        <v>-25</v>
      </c>
      <c r="AM70" s="1373">
        <v>-39</v>
      </c>
      <c r="AN70" s="1373">
        <v>-28</v>
      </c>
      <c r="AO70" s="1373">
        <v>-28</v>
      </c>
      <c r="AP70" s="1373">
        <v>-14</v>
      </c>
      <c r="AQ70" s="1373">
        <v>-27</v>
      </c>
      <c r="AR70" s="1373">
        <v>-161</v>
      </c>
      <c r="AS70" s="1374"/>
      <c r="AT70" s="1373" t="s">
        <v>792</v>
      </c>
      <c r="AU70" s="1373">
        <v>192</v>
      </c>
      <c r="AV70" s="1373">
        <v>211</v>
      </c>
      <c r="AW70" s="1373">
        <v>242</v>
      </c>
      <c r="AX70" s="1373">
        <v>217</v>
      </c>
      <c r="AY70" s="1373">
        <v>304</v>
      </c>
      <c r="AZ70" s="1373">
        <v>291</v>
      </c>
      <c r="BA70" s="1373">
        <v>1457</v>
      </c>
    </row>
  </sheetData>
  <mergeCells count="3">
    <mergeCell ref="B1:J1"/>
    <mergeCell ref="B2:J2"/>
    <mergeCell ref="B3:J3"/>
  </mergeCell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91"/>
  <sheetViews>
    <sheetView topLeftCell="A54" workbookViewId="0">
      <selection activeCell="J66" sqref="J66"/>
    </sheetView>
  </sheetViews>
  <sheetFormatPr defaultColWidth="8.85546875" defaultRowHeight="12.75" x14ac:dyDescent="0.2"/>
  <cols>
    <col min="1" max="1" width="35" style="1526" customWidth="1"/>
    <col min="2" max="9" width="9.28515625" style="1526" bestFit="1" customWidth="1"/>
    <col min="10" max="12" width="10.5703125" style="1526" bestFit="1" customWidth="1"/>
    <col min="13" max="16384" width="8.85546875" style="1526"/>
  </cols>
  <sheetData>
    <row r="1" spans="1:61" ht="15" x14ac:dyDescent="0.25">
      <c r="A1" s="1525" t="s">
        <v>616</v>
      </c>
      <c r="B1" s="1525"/>
      <c r="C1" s="1525"/>
      <c r="D1" s="1525"/>
      <c r="E1" s="1525"/>
      <c r="F1" s="1525"/>
      <c r="G1" s="1525"/>
      <c r="H1" s="1525"/>
      <c r="I1" s="1525"/>
      <c r="J1" s="1525"/>
    </row>
    <row r="4" spans="1:61" ht="18.75" x14ac:dyDescent="0.3">
      <c r="A4" s="1527" t="s">
        <v>617</v>
      </c>
    </row>
    <row r="5" spans="1:61" ht="13.5" thickBot="1" x14ac:dyDescent="0.25"/>
    <row r="6" spans="1:61" ht="45" x14ac:dyDescent="0.25">
      <c r="A6" s="1528"/>
      <c r="B6" s="1529" t="s">
        <v>618</v>
      </c>
      <c r="C6" s="1529" t="s">
        <v>619</v>
      </c>
      <c r="D6" s="1529" t="s">
        <v>620</v>
      </c>
      <c r="E6" s="1529" t="s">
        <v>621</v>
      </c>
      <c r="F6" s="1529" t="s">
        <v>622</v>
      </c>
      <c r="G6" s="1529" t="s">
        <v>623</v>
      </c>
      <c r="H6" s="1529" t="s">
        <v>624</v>
      </c>
      <c r="I6" s="1529" t="s">
        <v>625</v>
      </c>
      <c r="J6" s="1529" t="s">
        <v>626</v>
      </c>
      <c r="K6" s="1529" t="s">
        <v>627</v>
      </c>
      <c r="L6" s="1529" t="s">
        <v>628</v>
      </c>
      <c r="M6" s="1529" t="s">
        <v>629</v>
      </c>
      <c r="N6" s="1530" t="s">
        <v>630</v>
      </c>
      <c r="O6" s="1530" t="s">
        <v>631</v>
      </c>
      <c r="P6" s="1531" t="s">
        <v>632</v>
      </c>
      <c r="Q6" s="1532" t="s">
        <v>633</v>
      </c>
      <c r="R6" s="1532" t="s">
        <v>634</v>
      </c>
      <c r="S6" s="1532" t="s">
        <v>635</v>
      </c>
      <c r="T6" s="1532" t="s">
        <v>636</v>
      </c>
      <c r="U6" s="1532" t="s">
        <v>637</v>
      </c>
      <c r="V6" s="1532" t="s">
        <v>638</v>
      </c>
      <c r="W6" s="1532" t="s">
        <v>639</v>
      </c>
      <c r="X6" s="1532" t="s">
        <v>640</v>
      </c>
      <c r="Y6" s="1532" t="s">
        <v>641</v>
      </c>
      <c r="Z6" s="1532" t="s">
        <v>642</v>
      </c>
      <c r="AA6" s="1532" t="s">
        <v>643</v>
      </c>
      <c r="AB6" s="1532" t="s">
        <v>644</v>
      </c>
      <c r="AC6" s="1530" t="s">
        <v>645</v>
      </c>
      <c r="AD6" s="1530" t="s">
        <v>646</v>
      </c>
      <c r="AE6" s="1531" t="s">
        <v>647</v>
      </c>
      <c r="AF6" s="1533" t="s">
        <v>648</v>
      </c>
      <c r="AG6" s="1533" t="s">
        <v>649</v>
      </c>
      <c r="AH6" s="1533" t="s">
        <v>650</v>
      </c>
      <c r="AI6" s="1533" t="s">
        <v>651</v>
      </c>
      <c r="AJ6" s="1533" t="s">
        <v>652</v>
      </c>
      <c r="AK6" s="1533" t="s">
        <v>653</v>
      </c>
      <c r="AL6" s="1533" t="s">
        <v>654</v>
      </c>
      <c r="AM6" s="1533" t="s">
        <v>655</v>
      </c>
      <c r="AN6" s="1533" t="s">
        <v>656</v>
      </c>
      <c r="AO6" s="1533" t="s">
        <v>657</v>
      </c>
      <c r="AP6" s="1533" t="s">
        <v>658</v>
      </c>
      <c r="AQ6" s="1533" t="s">
        <v>659</v>
      </c>
      <c r="AR6" s="1530" t="s">
        <v>660</v>
      </c>
      <c r="AS6" s="1530" t="s">
        <v>661</v>
      </c>
      <c r="AT6" s="1531" t="s">
        <v>662</v>
      </c>
      <c r="AU6" s="1534" t="s">
        <v>663</v>
      </c>
      <c r="AV6" s="1534" t="s">
        <v>664</v>
      </c>
      <c r="AW6" s="1534" t="s">
        <v>665</v>
      </c>
      <c r="AX6" s="1534" t="s">
        <v>666</v>
      </c>
      <c r="AY6" s="1534" t="s">
        <v>667</v>
      </c>
      <c r="AZ6" s="1534" t="s">
        <v>668</v>
      </c>
      <c r="BA6" s="1534" t="s">
        <v>669</v>
      </c>
      <c r="BB6" s="1534" t="s">
        <v>670</v>
      </c>
      <c r="BC6" s="1534" t="s">
        <v>671</v>
      </c>
      <c r="BD6" s="1534" t="s">
        <v>672</v>
      </c>
      <c r="BE6" s="1534" t="s">
        <v>673</v>
      </c>
      <c r="BF6" s="1534" t="s">
        <v>674</v>
      </c>
      <c r="BG6" s="193" t="s">
        <v>675</v>
      </c>
      <c r="BH6" s="193" t="s">
        <v>676</v>
      </c>
      <c r="BI6" s="1535" t="s">
        <v>677</v>
      </c>
    </row>
    <row r="7" spans="1:61" ht="15" x14ac:dyDescent="0.25">
      <c r="A7" s="1536" t="s">
        <v>678</v>
      </c>
      <c r="B7" s="196">
        <v>1</v>
      </c>
      <c r="C7" s="196">
        <v>0</v>
      </c>
      <c r="D7" s="196">
        <v>3</v>
      </c>
      <c r="E7" s="196">
        <v>0</v>
      </c>
      <c r="F7" s="196">
        <v>5</v>
      </c>
      <c r="G7" s="196">
        <v>1</v>
      </c>
      <c r="H7" s="196">
        <v>0</v>
      </c>
      <c r="I7" s="196">
        <v>1</v>
      </c>
      <c r="J7" s="196">
        <v>2</v>
      </c>
      <c r="K7" s="196">
        <v>1</v>
      </c>
      <c r="L7" s="196">
        <v>1</v>
      </c>
      <c r="M7" s="196">
        <v>3</v>
      </c>
      <c r="N7" s="197">
        <f t="shared" ref="N7:O9" si="0">B7+D7+F7+H7+J7+L7</f>
        <v>12</v>
      </c>
      <c r="O7" s="197">
        <f t="shared" si="0"/>
        <v>6</v>
      </c>
      <c r="P7" s="198">
        <f>SUM(B7:M7)</f>
        <v>18</v>
      </c>
      <c r="Q7" s="196">
        <v>0</v>
      </c>
      <c r="R7" s="196">
        <v>1</v>
      </c>
      <c r="S7" s="196">
        <v>3</v>
      </c>
      <c r="T7" s="196">
        <v>3</v>
      </c>
      <c r="U7" s="196">
        <v>5</v>
      </c>
      <c r="V7" s="196">
        <v>0</v>
      </c>
      <c r="W7" s="196">
        <v>2</v>
      </c>
      <c r="X7" s="196">
        <v>0</v>
      </c>
      <c r="Y7" s="196">
        <v>2</v>
      </c>
      <c r="Z7" s="196">
        <v>1</v>
      </c>
      <c r="AA7" s="196">
        <v>3</v>
      </c>
      <c r="AB7" s="196">
        <v>0</v>
      </c>
      <c r="AC7" s="197">
        <f t="shared" ref="AC7:AD9" si="1">Q7+S7+U7+W7+Y7+AA7</f>
        <v>15</v>
      </c>
      <c r="AD7" s="197">
        <f t="shared" si="1"/>
        <v>5</v>
      </c>
      <c r="AE7" s="198">
        <f>SUM(Q7:AB7)</f>
        <v>20</v>
      </c>
      <c r="AF7" s="196">
        <v>4</v>
      </c>
      <c r="AG7" s="196">
        <v>1</v>
      </c>
      <c r="AH7" s="196">
        <v>3</v>
      </c>
      <c r="AI7" s="196">
        <v>2</v>
      </c>
      <c r="AJ7" s="196">
        <v>5</v>
      </c>
      <c r="AK7" s="196">
        <v>1</v>
      </c>
      <c r="AL7" s="196">
        <v>1</v>
      </c>
      <c r="AM7" s="196">
        <v>2</v>
      </c>
      <c r="AN7" s="196">
        <v>3</v>
      </c>
      <c r="AO7" s="196">
        <v>1</v>
      </c>
      <c r="AP7" s="196">
        <v>1</v>
      </c>
      <c r="AQ7" s="196">
        <v>1</v>
      </c>
      <c r="AR7" s="197">
        <f t="shared" ref="AR7:AS9" si="2">AF7+AH7+AJ7+AL7+AN7+AP7</f>
        <v>17</v>
      </c>
      <c r="AS7" s="197">
        <f t="shared" si="2"/>
        <v>8</v>
      </c>
      <c r="AT7" s="198">
        <f>SUM(AF7:AQ7)</f>
        <v>25</v>
      </c>
      <c r="AU7" s="196">
        <v>6</v>
      </c>
      <c r="AV7" s="196">
        <v>2</v>
      </c>
      <c r="AW7" s="196">
        <v>10</v>
      </c>
      <c r="AX7" s="196">
        <v>0</v>
      </c>
      <c r="AY7" s="196">
        <v>5</v>
      </c>
      <c r="AZ7" s="196">
        <v>1</v>
      </c>
      <c r="BA7" s="196">
        <v>3</v>
      </c>
      <c r="BB7" s="196">
        <v>3</v>
      </c>
      <c r="BC7" s="196">
        <v>3</v>
      </c>
      <c r="BD7" s="196">
        <v>1</v>
      </c>
      <c r="BE7" s="196">
        <v>2</v>
      </c>
      <c r="BF7" s="196">
        <v>1</v>
      </c>
      <c r="BG7" s="197">
        <f t="shared" ref="BG7:BH9" si="3">AU7+AW7+AY7+BA7+BC7+BE7</f>
        <v>29</v>
      </c>
      <c r="BH7" s="197">
        <f t="shared" si="3"/>
        <v>8</v>
      </c>
      <c r="BI7" s="198">
        <f>SUM(AU7:BF7)</f>
        <v>37</v>
      </c>
    </row>
    <row r="8" spans="1:61" ht="15" x14ac:dyDescent="0.25">
      <c r="A8" s="1536" t="s">
        <v>679</v>
      </c>
      <c r="B8" s="196">
        <v>16</v>
      </c>
      <c r="C8" s="196">
        <v>13</v>
      </c>
      <c r="D8" s="196">
        <v>3</v>
      </c>
      <c r="E8" s="196">
        <v>2</v>
      </c>
      <c r="F8" s="196">
        <v>4</v>
      </c>
      <c r="G8" s="196">
        <v>3</v>
      </c>
      <c r="H8" s="196">
        <v>8</v>
      </c>
      <c r="I8" s="196">
        <v>7</v>
      </c>
      <c r="J8" s="196">
        <v>5</v>
      </c>
      <c r="K8" s="196">
        <v>10</v>
      </c>
      <c r="L8" s="196">
        <v>6</v>
      </c>
      <c r="M8" s="196">
        <v>9</v>
      </c>
      <c r="N8" s="197">
        <f t="shared" si="0"/>
        <v>42</v>
      </c>
      <c r="O8" s="197">
        <f t="shared" si="0"/>
        <v>44</v>
      </c>
      <c r="P8" s="198">
        <f t="shared" ref="P8:P30" si="4">SUM(B8:M8)</f>
        <v>86</v>
      </c>
      <c r="Q8" s="196">
        <v>129</v>
      </c>
      <c r="R8" s="196">
        <v>99</v>
      </c>
      <c r="S8" s="196">
        <v>108</v>
      </c>
      <c r="T8" s="196">
        <v>77</v>
      </c>
      <c r="U8" s="196">
        <v>121</v>
      </c>
      <c r="V8" s="196">
        <v>69</v>
      </c>
      <c r="W8" s="196">
        <v>91</v>
      </c>
      <c r="X8" s="196">
        <v>77</v>
      </c>
      <c r="Y8" s="196">
        <v>72</v>
      </c>
      <c r="Z8" s="196">
        <v>66</v>
      </c>
      <c r="AA8" s="196">
        <v>88</v>
      </c>
      <c r="AB8" s="196">
        <v>64</v>
      </c>
      <c r="AC8" s="197">
        <f t="shared" si="1"/>
        <v>609</v>
      </c>
      <c r="AD8" s="197">
        <f t="shared" si="1"/>
        <v>452</v>
      </c>
      <c r="AE8" s="198">
        <f t="shared" ref="AE8:AE30" si="5">SUM(Q8:AB8)</f>
        <v>1061</v>
      </c>
      <c r="AF8" s="196">
        <v>23</v>
      </c>
      <c r="AG8" s="196">
        <v>15</v>
      </c>
      <c r="AH8" s="196">
        <v>16</v>
      </c>
      <c r="AI8" s="196">
        <v>18</v>
      </c>
      <c r="AJ8" s="196">
        <v>11</v>
      </c>
      <c r="AK8" s="196">
        <v>13</v>
      </c>
      <c r="AL8" s="196">
        <v>30</v>
      </c>
      <c r="AM8" s="196">
        <v>12</v>
      </c>
      <c r="AN8" s="196">
        <v>13</v>
      </c>
      <c r="AO8" s="196">
        <v>8</v>
      </c>
      <c r="AP8" s="196">
        <v>7</v>
      </c>
      <c r="AQ8" s="196">
        <v>2</v>
      </c>
      <c r="AR8" s="197">
        <f t="shared" si="2"/>
        <v>100</v>
      </c>
      <c r="AS8" s="197">
        <f t="shared" si="2"/>
        <v>68</v>
      </c>
      <c r="AT8" s="198">
        <f t="shared" ref="AT8:AT30" si="6">SUM(AF8:AQ8)</f>
        <v>168</v>
      </c>
      <c r="AU8" s="196">
        <v>175</v>
      </c>
      <c r="AV8" s="196">
        <v>105</v>
      </c>
      <c r="AW8" s="196">
        <v>65</v>
      </c>
      <c r="AX8" s="196">
        <v>28</v>
      </c>
      <c r="AY8" s="196">
        <v>48</v>
      </c>
      <c r="AZ8" s="196">
        <v>26</v>
      </c>
      <c r="BA8" s="196">
        <v>30</v>
      </c>
      <c r="BB8" s="196">
        <v>29</v>
      </c>
      <c r="BC8" s="196">
        <v>14</v>
      </c>
      <c r="BD8" s="196">
        <v>18</v>
      </c>
      <c r="BE8" s="196">
        <v>8</v>
      </c>
      <c r="BF8" s="196">
        <v>15</v>
      </c>
      <c r="BG8" s="197">
        <f t="shared" si="3"/>
        <v>340</v>
      </c>
      <c r="BH8" s="197">
        <f t="shared" si="3"/>
        <v>221</v>
      </c>
      <c r="BI8" s="198">
        <f t="shared" ref="BI8:BI30" si="7">SUM(AU8:BF8)</f>
        <v>561</v>
      </c>
    </row>
    <row r="9" spans="1:61" ht="15" x14ac:dyDescent="0.25">
      <c r="A9" s="1536" t="s">
        <v>680</v>
      </c>
      <c r="B9" s="196">
        <v>4</v>
      </c>
      <c r="C9" s="196">
        <v>8</v>
      </c>
      <c r="D9" s="196">
        <v>5</v>
      </c>
      <c r="E9" s="196">
        <v>1</v>
      </c>
      <c r="F9" s="196">
        <v>3</v>
      </c>
      <c r="G9" s="196">
        <v>7</v>
      </c>
      <c r="H9" s="196">
        <v>6</v>
      </c>
      <c r="I9" s="196">
        <v>2</v>
      </c>
      <c r="J9" s="196">
        <v>9</v>
      </c>
      <c r="K9" s="196">
        <v>6</v>
      </c>
      <c r="L9" s="196">
        <v>7</v>
      </c>
      <c r="M9" s="196">
        <v>12</v>
      </c>
      <c r="N9" s="197">
        <f t="shared" si="0"/>
        <v>34</v>
      </c>
      <c r="O9" s="197">
        <f t="shared" si="0"/>
        <v>36</v>
      </c>
      <c r="P9" s="198">
        <f t="shared" si="4"/>
        <v>70</v>
      </c>
      <c r="Q9" s="196">
        <v>20</v>
      </c>
      <c r="R9" s="196">
        <v>15</v>
      </c>
      <c r="S9" s="196">
        <v>16</v>
      </c>
      <c r="T9" s="196">
        <v>14</v>
      </c>
      <c r="U9" s="196">
        <v>12</v>
      </c>
      <c r="V9" s="196">
        <v>5</v>
      </c>
      <c r="W9" s="196">
        <v>12</v>
      </c>
      <c r="X9" s="196">
        <v>11</v>
      </c>
      <c r="Y9" s="196">
        <v>8</v>
      </c>
      <c r="Z9" s="196">
        <v>9</v>
      </c>
      <c r="AA9" s="196">
        <v>12</v>
      </c>
      <c r="AB9" s="196">
        <v>7</v>
      </c>
      <c r="AC9" s="197">
        <f t="shared" si="1"/>
        <v>80</v>
      </c>
      <c r="AD9" s="197">
        <f t="shared" si="1"/>
        <v>61</v>
      </c>
      <c r="AE9" s="198">
        <f t="shared" si="5"/>
        <v>141</v>
      </c>
      <c r="AF9" s="196">
        <v>14</v>
      </c>
      <c r="AG9" s="196">
        <v>19</v>
      </c>
      <c r="AH9" s="196">
        <v>14</v>
      </c>
      <c r="AI9" s="196">
        <v>12</v>
      </c>
      <c r="AJ9" s="196">
        <v>21</v>
      </c>
      <c r="AK9" s="196">
        <v>20</v>
      </c>
      <c r="AL9" s="196">
        <v>19</v>
      </c>
      <c r="AM9" s="196">
        <v>14</v>
      </c>
      <c r="AN9" s="196">
        <v>7</v>
      </c>
      <c r="AO9" s="196">
        <v>10</v>
      </c>
      <c r="AP9" s="196">
        <v>7</v>
      </c>
      <c r="AQ9" s="196">
        <v>7</v>
      </c>
      <c r="AR9" s="197">
        <f t="shared" si="2"/>
        <v>82</v>
      </c>
      <c r="AS9" s="197">
        <f t="shared" si="2"/>
        <v>82</v>
      </c>
      <c r="AT9" s="198">
        <f t="shared" si="6"/>
        <v>164</v>
      </c>
      <c r="AU9" s="196">
        <v>18</v>
      </c>
      <c r="AV9" s="196">
        <v>20</v>
      </c>
      <c r="AW9" s="196">
        <v>25</v>
      </c>
      <c r="AX9" s="196">
        <v>10</v>
      </c>
      <c r="AY9" s="196">
        <v>16</v>
      </c>
      <c r="AZ9" s="196">
        <v>6</v>
      </c>
      <c r="BA9" s="196">
        <v>4</v>
      </c>
      <c r="BB9" s="196">
        <v>6</v>
      </c>
      <c r="BC9" s="196">
        <v>1</v>
      </c>
      <c r="BD9" s="196">
        <v>2</v>
      </c>
      <c r="BE9" s="196">
        <v>2</v>
      </c>
      <c r="BF9" s="196">
        <v>2</v>
      </c>
      <c r="BG9" s="197">
        <f t="shared" si="3"/>
        <v>66</v>
      </c>
      <c r="BH9" s="197">
        <f t="shared" si="3"/>
        <v>46</v>
      </c>
      <c r="BI9" s="198">
        <f t="shared" si="7"/>
        <v>112</v>
      </c>
    </row>
    <row r="10" spans="1:61" ht="15" x14ac:dyDescent="0.25">
      <c r="A10" s="1537" t="s">
        <v>681</v>
      </c>
      <c r="B10" s="200">
        <v>1</v>
      </c>
      <c r="C10" s="200">
        <v>3</v>
      </c>
      <c r="D10" s="200">
        <v>1</v>
      </c>
      <c r="E10" s="200">
        <v>1</v>
      </c>
      <c r="F10" s="200">
        <v>4</v>
      </c>
      <c r="G10" s="200">
        <v>0</v>
      </c>
      <c r="H10" s="200">
        <v>0</v>
      </c>
      <c r="I10" s="200">
        <v>0</v>
      </c>
      <c r="J10" s="200">
        <v>0</v>
      </c>
      <c r="K10" s="200">
        <v>1</v>
      </c>
      <c r="L10" s="200">
        <v>0</v>
      </c>
      <c r="M10" s="200">
        <v>0</v>
      </c>
      <c r="N10" s="197"/>
      <c r="O10" s="197"/>
      <c r="P10" s="198">
        <f t="shared" si="4"/>
        <v>11</v>
      </c>
      <c r="Q10" s="201">
        <v>4</v>
      </c>
      <c r="R10" s="201">
        <v>6</v>
      </c>
      <c r="S10" s="201">
        <v>2</v>
      </c>
      <c r="T10" s="201">
        <v>1</v>
      </c>
      <c r="U10" s="201">
        <v>2</v>
      </c>
      <c r="V10" s="201">
        <v>4</v>
      </c>
      <c r="W10" s="201">
        <v>5</v>
      </c>
      <c r="X10" s="201">
        <v>1</v>
      </c>
      <c r="Y10" s="201">
        <v>7</v>
      </c>
      <c r="Z10" s="201">
        <v>1</v>
      </c>
      <c r="AA10" s="201">
        <v>3</v>
      </c>
      <c r="AB10" s="201">
        <v>9</v>
      </c>
      <c r="AC10" s="197"/>
      <c r="AD10" s="197"/>
      <c r="AE10" s="198">
        <f t="shared" si="5"/>
        <v>45</v>
      </c>
      <c r="AF10" s="202">
        <v>5</v>
      </c>
      <c r="AG10" s="202">
        <v>5</v>
      </c>
      <c r="AH10" s="202">
        <v>4</v>
      </c>
      <c r="AI10" s="202">
        <v>2</v>
      </c>
      <c r="AJ10" s="202">
        <v>6</v>
      </c>
      <c r="AK10" s="202">
        <v>5</v>
      </c>
      <c r="AL10" s="202">
        <v>7</v>
      </c>
      <c r="AM10" s="202">
        <v>1</v>
      </c>
      <c r="AN10" s="202">
        <v>6</v>
      </c>
      <c r="AO10" s="202">
        <v>1</v>
      </c>
      <c r="AP10" s="202">
        <v>2</v>
      </c>
      <c r="AQ10" s="202">
        <v>2</v>
      </c>
      <c r="AR10" s="197"/>
      <c r="AS10" s="197"/>
      <c r="AT10" s="198">
        <f t="shared" si="6"/>
        <v>46</v>
      </c>
      <c r="AU10" s="203">
        <v>4</v>
      </c>
      <c r="AV10" s="203">
        <v>0</v>
      </c>
      <c r="AW10" s="203">
        <v>3</v>
      </c>
      <c r="AX10" s="203">
        <v>3</v>
      </c>
      <c r="AY10" s="203">
        <v>4</v>
      </c>
      <c r="AZ10" s="203">
        <v>4</v>
      </c>
      <c r="BA10" s="203">
        <v>1</v>
      </c>
      <c r="BB10" s="203">
        <v>2</v>
      </c>
      <c r="BC10" s="203">
        <v>2</v>
      </c>
      <c r="BD10" s="203">
        <v>2</v>
      </c>
      <c r="BE10" s="203">
        <v>2</v>
      </c>
      <c r="BF10" s="203">
        <v>2</v>
      </c>
      <c r="BG10" s="197"/>
      <c r="BH10" s="197"/>
      <c r="BI10" s="198">
        <f t="shared" si="7"/>
        <v>29</v>
      </c>
    </row>
    <row r="11" spans="1:61" ht="15" x14ac:dyDescent="0.25">
      <c r="A11" s="1537" t="s">
        <v>682</v>
      </c>
      <c r="B11" s="200">
        <v>0</v>
      </c>
      <c r="C11" s="200">
        <v>1</v>
      </c>
      <c r="D11" s="200">
        <v>1</v>
      </c>
      <c r="E11" s="200">
        <v>1</v>
      </c>
      <c r="F11" s="200">
        <v>5</v>
      </c>
      <c r="G11" s="200">
        <v>2</v>
      </c>
      <c r="H11" s="200">
        <v>3</v>
      </c>
      <c r="I11" s="200">
        <v>0</v>
      </c>
      <c r="J11" s="200">
        <v>2</v>
      </c>
      <c r="K11" s="200">
        <v>2</v>
      </c>
      <c r="L11" s="200">
        <v>0</v>
      </c>
      <c r="M11" s="200">
        <v>1</v>
      </c>
      <c r="N11" s="197"/>
      <c r="O11" s="197"/>
      <c r="P11" s="198">
        <f t="shared" si="4"/>
        <v>18</v>
      </c>
      <c r="Q11" s="201">
        <v>8</v>
      </c>
      <c r="R11" s="201">
        <v>34</v>
      </c>
      <c r="S11" s="201">
        <v>64</v>
      </c>
      <c r="T11" s="201">
        <v>84</v>
      </c>
      <c r="U11" s="201">
        <v>47</v>
      </c>
      <c r="V11" s="201">
        <v>78</v>
      </c>
      <c r="W11" s="201">
        <v>44</v>
      </c>
      <c r="X11" s="201">
        <v>93</v>
      </c>
      <c r="Y11" s="201">
        <v>76</v>
      </c>
      <c r="Z11" s="201">
        <v>63</v>
      </c>
      <c r="AA11" s="201">
        <v>55</v>
      </c>
      <c r="AB11" s="201">
        <v>1</v>
      </c>
      <c r="AC11" s="197"/>
      <c r="AD11" s="197"/>
      <c r="AE11" s="198">
        <f t="shared" si="5"/>
        <v>647</v>
      </c>
      <c r="AF11" s="202">
        <v>12</v>
      </c>
      <c r="AG11" s="202">
        <v>5</v>
      </c>
      <c r="AH11" s="202">
        <v>9</v>
      </c>
      <c r="AI11" s="202">
        <v>4</v>
      </c>
      <c r="AJ11" s="202">
        <v>4</v>
      </c>
      <c r="AK11" s="202">
        <v>5</v>
      </c>
      <c r="AL11" s="202">
        <v>6</v>
      </c>
      <c r="AM11" s="202">
        <v>4</v>
      </c>
      <c r="AN11" s="202">
        <v>5</v>
      </c>
      <c r="AO11" s="202">
        <v>4</v>
      </c>
      <c r="AP11" s="202">
        <v>3</v>
      </c>
      <c r="AQ11" s="202">
        <v>6</v>
      </c>
      <c r="AR11" s="197"/>
      <c r="AS11" s="197"/>
      <c r="AT11" s="198">
        <f t="shared" si="6"/>
        <v>67</v>
      </c>
      <c r="AU11" s="203">
        <v>3</v>
      </c>
      <c r="AV11" s="203">
        <v>2</v>
      </c>
      <c r="AW11" s="203">
        <v>1</v>
      </c>
      <c r="AX11" s="203">
        <v>1</v>
      </c>
      <c r="AY11" s="203">
        <v>2</v>
      </c>
      <c r="AZ11" s="203">
        <v>1</v>
      </c>
      <c r="BA11" s="203">
        <v>0</v>
      </c>
      <c r="BB11" s="203">
        <v>1</v>
      </c>
      <c r="BC11" s="203">
        <v>3</v>
      </c>
      <c r="BD11" s="203">
        <v>1</v>
      </c>
      <c r="BE11" s="203">
        <v>5</v>
      </c>
      <c r="BF11" s="203">
        <v>1</v>
      </c>
      <c r="BG11" s="197"/>
      <c r="BH11" s="197"/>
      <c r="BI11" s="198">
        <f t="shared" si="7"/>
        <v>21</v>
      </c>
    </row>
    <row r="12" spans="1:61" ht="15" x14ac:dyDescent="0.25">
      <c r="A12" s="1537" t="s">
        <v>683</v>
      </c>
      <c r="B12" s="200">
        <v>13</v>
      </c>
      <c r="C12" s="200">
        <v>2</v>
      </c>
      <c r="D12" s="200">
        <v>15</v>
      </c>
      <c r="E12" s="200">
        <v>8</v>
      </c>
      <c r="F12" s="200">
        <v>7</v>
      </c>
      <c r="G12" s="200">
        <v>10</v>
      </c>
      <c r="H12" s="200">
        <v>13</v>
      </c>
      <c r="I12" s="200">
        <v>3</v>
      </c>
      <c r="J12" s="200">
        <v>8</v>
      </c>
      <c r="K12" s="200">
        <v>6</v>
      </c>
      <c r="L12" s="200">
        <v>4</v>
      </c>
      <c r="M12" s="200">
        <v>4</v>
      </c>
      <c r="N12" s="197"/>
      <c r="O12" s="197"/>
      <c r="P12" s="198">
        <f t="shared" si="4"/>
        <v>93</v>
      </c>
      <c r="Q12" s="201">
        <v>56</v>
      </c>
      <c r="R12" s="201">
        <v>21</v>
      </c>
      <c r="S12" s="201">
        <v>62</v>
      </c>
      <c r="T12" s="201">
        <v>26</v>
      </c>
      <c r="U12" s="201">
        <v>80</v>
      </c>
      <c r="V12" s="201">
        <v>22</v>
      </c>
      <c r="W12" s="201">
        <v>68</v>
      </c>
      <c r="X12" s="201">
        <v>25</v>
      </c>
      <c r="Y12" s="201">
        <v>132</v>
      </c>
      <c r="Z12" s="201">
        <v>34</v>
      </c>
      <c r="AA12" s="201">
        <v>91</v>
      </c>
      <c r="AB12" s="201">
        <v>19</v>
      </c>
      <c r="AC12" s="197"/>
      <c r="AD12" s="197"/>
      <c r="AE12" s="198">
        <f t="shared" si="5"/>
        <v>636</v>
      </c>
      <c r="AF12" s="202">
        <v>40</v>
      </c>
      <c r="AG12" s="202">
        <v>34</v>
      </c>
      <c r="AH12" s="202">
        <v>26</v>
      </c>
      <c r="AI12" s="202">
        <v>18</v>
      </c>
      <c r="AJ12" s="202">
        <v>14</v>
      </c>
      <c r="AK12" s="202">
        <v>21</v>
      </c>
      <c r="AL12" s="202">
        <v>15</v>
      </c>
      <c r="AM12" s="202">
        <v>8</v>
      </c>
      <c r="AN12" s="202">
        <v>8</v>
      </c>
      <c r="AO12" s="202">
        <v>8</v>
      </c>
      <c r="AP12" s="202">
        <v>4</v>
      </c>
      <c r="AQ12" s="202">
        <v>2</v>
      </c>
      <c r="AR12" s="197"/>
      <c r="AS12" s="197"/>
      <c r="AT12" s="198">
        <f t="shared" si="6"/>
        <v>198</v>
      </c>
      <c r="AU12" s="203">
        <v>18</v>
      </c>
      <c r="AV12" s="203">
        <v>8</v>
      </c>
      <c r="AW12" s="203">
        <v>13</v>
      </c>
      <c r="AX12" s="203">
        <v>14</v>
      </c>
      <c r="AY12" s="203">
        <v>15</v>
      </c>
      <c r="AZ12" s="203">
        <v>6</v>
      </c>
      <c r="BA12" s="203">
        <v>6</v>
      </c>
      <c r="BB12" s="203">
        <v>2</v>
      </c>
      <c r="BC12" s="203">
        <v>1</v>
      </c>
      <c r="BD12" s="203">
        <v>3</v>
      </c>
      <c r="BE12" s="203">
        <v>9</v>
      </c>
      <c r="BF12" s="203">
        <v>1</v>
      </c>
      <c r="BG12" s="197"/>
      <c r="BH12" s="197"/>
      <c r="BI12" s="198">
        <f t="shared" si="7"/>
        <v>96</v>
      </c>
    </row>
    <row r="13" spans="1:61" ht="15" x14ac:dyDescent="0.25">
      <c r="A13" s="1536" t="s">
        <v>684</v>
      </c>
      <c r="B13" s="1538">
        <f>SUM(B10:B12)</f>
        <v>14</v>
      </c>
      <c r="C13" s="1538">
        <f t="shared" ref="C13:BI13" si="8">SUM(C10:C12)</f>
        <v>6</v>
      </c>
      <c r="D13" s="1538">
        <f t="shared" si="8"/>
        <v>17</v>
      </c>
      <c r="E13" s="1538">
        <f t="shared" si="8"/>
        <v>10</v>
      </c>
      <c r="F13" s="1538">
        <f t="shared" si="8"/>
        <v>16</v>
      </c>
      <c r="G13" s="1538">
        <f t="shared" si="8"/>
        <v>12</v>
      </c>
      <c r="H13" s="1538">
        <f t="shared" si="8"/>
        <v>16</v>
      </c>
      <c r="I13" s="1538">
        <f t="shared" si="8"/>
        <v>3</v>
      </c>
      <c r="J13" s="1538">
        <f t="shared" si="8"/>
        <v>10</v>
      </c>
      <c r="K13" s="1538">
        <f t="shared" si="8"/>
        <v>9</v>
      </c>
      <c r="L13" s="1538">
        <f t="shared" si="8"/>
        <v>4</v>
      </c>
      <c r="M13" s="1538">
        <f t="shared" si="8"/>
        <v>5</v>
      </c>
      <c r="N13" s="1539">
        <f>B13+D13+F13+H13+J13+L13</f>
        <v>77</v>
      </c>
      <c r="O13" s="1539">
        <f>C13+E13+G13+I13+K13+M13</f>
        <v>45</v>
      </c>
      <c r="P13" s="1538">
        <f t="shared" si="8"/>
        <v>122</v>
      </c>
      <c r="Q13" s="1538">
        <f t="shared" si="8"/>
        <v>68</v>
      </c>
      <c r="R13" s="1538">
        <f t="shared" si="8"/>
        <v>61</v>
      </c>
      <c r="S13" s="1538">
        <f t="shared" si="8"/>
        <v>128</v>
      </c>
      <c r="T13" s="1538">
        <f t="shared" si="8"/>
        <v>111</v>
      </c>
      <c r="U13" s="1538">
        <f t="shared" si="8"/>
        <v>129</v>
      </c>
      <c r="V13" s="1538">
        <f t="shared" si="8"/>
        <v>104</v>
      </c>
      <c r="W13" s="1538">
        <f t="shared" si="8"/>
        <v>117</v>
      </c>
      <c r="X13" s="1538">
        <f t="shared" si="8"/>
        <v>119</v>
      </c>
      <c r="Y13" s="1538">
        <f t="shared" si="8"/>
        <v>215</v>
      </c>
      <c r="Z13" s="1538">
        <f t="shared" si="8"/>
        <v>98</v>
      </c>
      <c r="AA13" s="1538">
        <f t="shared" si="8"/>
        <v>149</v>
      </c>
      <c r="AB13" s="1538">
        <f t="shared" si="8"/>
        <v>29</v>
      </c>
      <c r="AC13" s="1539">
        <f>Q13+S13+U13+W13+Y13+AA13</f>
        <v>806</v>
      </c>
      <c r="AD13" s="1539">
        <f>R13+T13+V13+X13+Z13+AB13</f>
        <v>522</v>
      </c>
      <c r="AE13" s="1538">
        <f t="shared" si="8"/>
        <v>1328</v>
      </c>
      <c r="AF13" s="1538">
        <f t="shared" si="8"/>
        <v>57</v>
      </c>
      <c r="AG13" s="1538">
        <f t="shared" si="8"/>
        <v>44</v>
      </c>
      <c r="AH13" s="1538">
        <f t="shared" si="8"/>
        <v>39</v>
      </c>
      <c r="AI13" s="1538">
        <f t="shared" si="8"/>
        <v>24</v>
      </c>
      <c r="AJ13" s="1538">
        <f t="shared" si="8"/>
        <v>24</v>
      </c>
      <c r="AK13" s="1538">
        <f t="shared" si="8"/>
        <v>31</v>
      </c>
      <c r="AL13" s="1538">
        <f t="shared" si="8"/>
        <v>28</v>
      </c>
      <c r="AM13" s="1538">
        <f t="shared" si="8"/>
        <v>13</v>
      </c>
      <c r="AN13" s="1538">
        <f t="shared" si="8"/>
        <v>19</v>
      </c>
      <c r="AO13" s="1538">
        <f t="shared" si="8"/>
        <v>13</v>
      </c>
      <c r="AP13" s="1538">
        <f t="shared" si="8"/>
        <v>9</v>
      </c>
      <c r="AQ13" s="1538">
        <f t="shared" si="8"/>
        <v>10</v>
      </c>
      <c r="AR13" s="1539">
        <f>AF13+AH13+AJ13+AL13+AN13+AP13</f>
        <v>176</v>
      </c>
      <c r="AS13" s="1539">
        <f>AG13+AI13+AK13+AM13+AO13+AQ13</f>
        <v>135</v>
      </c>
      <c r="AT13" s="1538">
        <f t="shared" si="8"/>
        <v>311</v>
      </c>
      <c r="AU13" s="1538">
        <f t="shared" si="8"/>
        <v>25</v>
      </c>
      <c r="AV13" s="1538">
        <f t="shared" si="8"/>
        <v>10</v>
      </c>
      <c r="AW13" s="1538">
        <f t="shared" si="8"/>
        <v>17</v>
      </c>
      <c r="AX13" s="1538">
        <f t="shared" si="8"/>
        <v>18</v>
      </c>
      <c r="AY13" s="1538">
        <f t="shared" si="8"/>
        <v>21</v>
      </c>
      <c r="AZ13" s="1538">
        <f t="shared" si="8"/>
        <v>11</v>
      </c>
      <c r="BA13" s="1538">
        <f t="shared" si="8"/>
        <v>7</v>
      </c>
      <c r="BB13" s="1538">
        <f t="shared" si="8"/>
        <v>5</v>
      </c>
      <c r="BC13" s="1538">
        <f t="shared" si="8"/>
        <v>6</v>
      </c>
      <c r="BD13" s="1538">
        <f t="shared" si="8"/>
        <v>6</v>
      </c>
      <c r="BE13" s="1538">
        <f t="shared" si="8"/>
        <v>16</v>
      </c>
      <c r="BF13" s="1538">
        <f t="shared" si="8"/>
        <v>4</v>
      </c>
      <c r="BG13" s="1539">
        <f>AU13+AW13+AY13+BA13+BC13+BE13</f>
        <v>92</v>
      </c>
      <c r="BH13" s="1539">
        <f>+AV13+AX13+AZ13+BB13+BD13+BF13</f>
        <v>54</v>
      </c>
      <c r="BI13" s="1538">
        <f t="shared" si="8"/>
        <v>146</v>
      </c>
    </row>
    <row r="14" spans="1:61" ht="15" x14ac:dyDescent="0.25">
      <c r="A14" s="1537" t="s">
        <v>685</v>
      </c>
      <c r="B14" s="200">
        <v>1</v>
      </c>
      <c r="C14" s="200">
        <v>0</v>
      </c>
      <c r="D14" s="200">
        <v>0</v>
      </c>
      <c r="E14" s="200">
        <v>0</v>
      </c>
      <c r="F14" s="200">
        <v>1</v>
      </c>
      <c r="G14" s="200">
        <v>0</v>
      </c>
      <c r="H14" s="200">
        <v>0</v>
      </c>
      <c r="I14" s="200">
        <v>0</v>
      </c>
      <c r="J14" s="200">
        <v>1</v>
      </c>
      <c r="K14" s="200">
        <v>0</v>
      </c>
      <c r="L14" s="200">
        <v>0</v>
      </c>
      <c r="M14" s="200">
        <v>0</v>
      </c>
      <c r="N14" s="197"/>
      <c r="O14" s="197"/>
      <c r="P14" s="198">
        <f t="shared" si="4"/>
        <v>3</v>
      </c>
      <c r="Q14" s="201">
        <v>0</v>
      </c>
      <c r="R14" s="201">
        <v>0</v>
      </c>
      <c r="S14" s="201">
        <v>0</v>
      </c>
      <c r="T14" s="201">
        <v>1</v>
      </c>
      <c r="U14" s="201">
        <v>0</v>
      </c>
      <c r="V14" s="201">
        <v>0</v>
      </c>
      <c r="W14" s="201">
        <v>0</v>
      </c>
      <c r="X14" s="201">
        <v>0</v>
      </c>
      <c r="Y14" s="201">
        <v>0</v>
      </c>
      <c r="Z14" s="201">
        <v>0</v>
      </c>
      <c r="AA14" s="201">
        <v>1</v>
      </c>
      <c r="AB14" s="201">
        <v>0</v>
      </c>
      <c r="AC14" s="197"/>
      <c r="AD14" s="197"/>
      <c r="AE14" s="198">
        <f t="shared" si="5"/>
        <v>2</v>
      </c>
      <c r="AF14" s="202">
        <v>1</v>
      </c>
      <c r="AG14" s="202">
        <v>1</v>
      </c>
      <c r="AH14" s="202">
        <v>2</v>
      </c>
      <c r="AI14" s="202">
        <v>1</v>
      </c>
      <c r="AJ14" s="202">
        <v>3</v>
      </c>
      <c r="AK14" s="202">
        <v>1</v>
      </c>
      <c r="AL14" s="202">
        <v>2</v>
      </c>
      <c r="AM14" s="202">
        <v>1</v>
      </c>
      <c r="AN14" s="202">
        <v>1</v>
      </c>
      <c r="AO14" s="202">
        <v>0</v>
      </c>
      <c r="AP14" s="202">
        <v>1</v>
      </c>
      <c r="AQ14" s="202">
        <v>0</v>
      </c>
      <c r="AR14" s="197"/>
      <c r="AS14" s="197"/>
      <c r="AT14" s="198">
        <f t="shared" si="6"/>
        <v>14</v>
      </c>
      <c r="AU14" s="203">
        <v>0</v>
      </c>
      <c r="AV14" s="203">
        <v>1</v>
      </c>
      <c r="AW14" s="203">
        <v>2</v>
      </c>
      <c r="AX14" s="203">
        <v>1</v>
      </c>
      <c r="AY14" s="203">
        <v>1</v>
      </c>
      <c r="AZ14" s="203">
        <v>0</v>
      </c>
      <c r="BA14" s="203">
        <v>1</v>
      </c>
      <c r="BB14" s="203">
        <v>1</v>
      </c>
      <c r="BC14" s="203">
        <v>0</v>
      </c>
      <c r="BD14" s="203">
        <v>1</v>
      </c>
      <c r="BE14" s="203">
        <v>0</v>
      </c>
      <c r="BF14" s="203">
        <v>0</v>
      </c>
      <c r="BG14" s="197"/>
      <c r="BH14" s="197"/>
      <c r="BI14" s="198">
        <f t="shared" si="7"/>
        <v>8</v>
      </c>
    </row>
    <row r="15" spans="1:61" ht="15" x14ac:dyDescent="0.25">
      <c r="A15" s="1537" t="s">
        <v>686</v>
      </c>
      <c r="B15" s="200">
        <v>0</v>
      </c>
      <c r="C15" s="200">
        <v>0</v>
      </c>
      <c r="D15" s="200">
        <v>0</v>
      </c>
      <c r="E15" s="200">
        <v>0</v>
      </c>
      <c r="F15" s="200">
        <v>0</v>
      </c>
      <c r="G15" s="200">
        <v>0</v>
      </c>
      <c r="H15" s="200">
        <v>0</v>
      </c>
      <c r="I15" s="200">
        <v>0</v>
      </c>
      <c r="J15" s="200">
        <v>0</v>
      </c>
      <c r="K15" s="200">
        <v>0</v>
      </c>
      <c r="L15" s="200">
        <v>4</v>
      </c>
      <c r="M15" s="200">
        <v>0</v>
      </c>
      <c r="N15" s="197"/>
      <c r="O15" s="197"/>
      <c r="P15" s="198">
        <f t="shared" si="4"/>
        <v>4</v>
      </c>
      <c r="Q15" s="201">
        <v>1</v>
      </c>
      <c r="R15" s="201">
        <v>0</v>
      </c>
      <c r="S15" s="201">
        <v>2</v>
      </c>
      <c r="T15" s="201">
        <v>0</v>
      </c>
      <c r="U15" s="201">
        <v>3</v>
      </c>
      <c r="V15" s="201">
        <v>0</v>
      </c>
      <c r="W15" s="201">
        <v>1</v>
      </c>
      <c r="X15" s="201">
        <v>0</v>
      </c>
      <c r="Y15" s="201">
        <v>0</v>
      </c>
      <c r="Z15" s="201">
        <v>0</v>
      </c>
      <c r="AA15" s="201">
        <v>0</v>
      </c>
      <c r="AB15" s="201">
        <v>0</v>
      </c>
      <c r="AC15" s="197"/>
      <c r="AD15" s="197"/>
      <c r="AE15" s="198">
        <f t="shared" si="5"/>
        <v>7</v>
      </c>
      <c r="AF15" s="202">
        <v>3</v>
      </c>
      <c r="AG15" s="202">
        <v>0</v>
      </c>
      <c r="AH15" s="202">
        <v>4</v>
      </c>
      <c r="AI15" s="202">
        <v>0</v>
      </c>
      <c r="AJ15" s="202">
        <v>3</v>
      </c>
      <c r="AK15" s="202">
        <v>3</v>
      </c>
      <c r="AL15" s="202">
        <v>3</v>
      </c>
      <c r="AM15" s="202">
        <v>3</v>
      </c>
      <c r="AN15" s="202">
        <v>0</v>
      </c>
      <c r="AO15" s="202">
        <v>0</v>
      </c>
      <c r="AP15" s="202">
        <v>0</v>
      </c>
      <c r="AQ15" s="202">
        <v>1</v>
      </c>
      <c r="AR15" s="197"/>
      <c r="AS15" s="197"/>
      <c r="AT15" s="198">
        <f t="shared" si="6"/>
        <v>20</v>
      </c>
      <c r="AU15" s="203">
        <v>1</v>
      </c>
      <c r="AV15" s="203">
        <v>0</v>
      </c>
      <c r="AW15" s="203">
        <v>3</v>
      </c>
      <c r="AX15" s="203">
        <v>1</v>
      </c>
      <c r="AY15" s="203">
        <v>2</v>
      </c>
      <c r="AZ15" s="203">
        <v>1</v>
      </c>
      <c r="BA15" s="203">
        <v>3</v>
      </c>
      <c r="BB15" s="203">
        <v>1</v>
      </c>
      <c r="BC15" s="203">
        <v>0</v>
      </c>
      <c r="BD15" s="203">
        <v>0</v>
      </c>
      <c r="BE15" s="203">
        <v>1</v>
      </c>
      <c r="BF15" s="203">
        <v>0</v>
      </c>
      <c r="BG15" s="197"/>
      <c r="BH15" s="197"/>
      <c r="BI15" s="198">
        <f t="shared" si="7"/>
        <v>13</v>
      </c>
    </row>
    <row r="16" spans="1:61" ht="15" x14ac:dyDescent="0.25">
      <c r="A16" s="1537" t="s">
        <v>687</v>
      </c>
      <c r="B16" s="200">
        <v>1</v>
      </c>
      <c r="C16" s="200">
        <v>2</v>
      </c>
      <c r="D16" s="200">
        <v>1</v>
      </c>
      <c r="E16" s="200">
        <v>1</v>
      </c>
      <c r="F16" s="200">
        <v>0</v>
      </c>
      <c r="G16" s="200">
        <v>0</v>
      </c>
      <c r="H16" s="200">
        <v>0</v>
      </c>
      <c r="I16" s="200">
        <v>1</v>
      </c>
      <c r="J16" s="200">
        <v>1</v>
      </c>
      <c r="K16" s="200">
        <v>0</v>
      </c>
      <c r="L16" s="200">
        <v>0</v>
      </c>
      <c r="M16" s="200">
        <v>0</v>
      </c>
      <c r="N16" s="197"/>
      <c r="O16" s="197"/>
      <c r="P16" s="198">
        <f t="shared" si="4"/>
        <v>7</v>
      </c>
      <c r="Q16" s="201">
        <v>2</v>
      </c>
      <c r="R16" s="201">
        <v>2</v>
      </c>
      <c r="S16" s="201">
        <v>2</v>
      </c>
      <c r="T16" s="201">
        <v>2</v>
      </c>
      <c r="U16" s="201">
        <v>1</v>
      </c>
      <c r="V16" s="201">
        <v>2</v>
      </c>
      <c r="W16" s="201">
        <v>1</v>
      </c>
      <c r="X16" s="201">
        <v>0</v>
      </c>
      <c r="Y16" s="201">
        <v>0</v>
      </c>
      <c r="Z16" s="201">
        <v>1</v>
      </c>
      <c r="AA16" s="201">
        <v>2</v>
      </c>
      <c r="AB16" s="201">
        <v>0</v>
      </c>
      <c r="AC16" s="197"/>
      <c r="AD16" s="197"/>
      <c r="AE16" s="198">
        <f t="shared" si="5"/>
        <v>15</v>
      </c>
      <c r="AF16" s="202">
        <v>1</v>
      </c>
      <c r="AG16" s="202">
        <v>0</v>
      </c>
      <c r="AH16" s="202">
        <v>1</v>
      </c>
      <c r="AI16" s="202">
        <v>4</v>
      </c>
      <c r="AJ16" s="202">
        <v>4</v>
      </c>
      <c r="AK16" s="202">
        <v>2</v>
      </c>
      <c r="AL16" s="202">
        <v>3</v>
      </c>
      <c r="AM16" s="202">
        <v>1</v>
      </c>
      <c r="AN16" s="202">
        <v>4</v>
      </c>
      <c r="AO16" s="202">
        <v>1</v>
      </c>
      <c r="AP16" s="202">
        <v>3</v>
      </c>
      <c r="AQ16" s="202">
        <v>1</v>
      </c>
      <c r="AR16" s="197"/>
      <c r="AS16" s="197"/>
      <c r="AT16" s="198">
        <f t="shared" si="6"/>
        <v>25</v>
      </c>
      <c r="AU16" s="203">
        <v>2</v>
      </c>
      <c r="AV16" s="203">
        <v>1</v>
      </c>
      <c r="AW16" s="203">
        <v>4</v>
      </c>
      <c r="AX16" s="203">
        <v>0</v>
      </c>
      <c r="AY16" s="203">
        <v>3</v>
      </c>
      <c r="AZ16" s="203">
        <v>2</v>
      </c>
      <c r="BA16" s="203">
        <v>3</v>
      </c>
      <c r="BB16" s="203">
        <v>0</v>
      </c>
      <c r="BC16" s="203">
        <v>0</v>
      </c>
      <c r="BD16" s="203">
        <v>1</v>
      </c>
      <c r="BE16" s="203">
        <v>1</v>
      </c>
      <c r="BF16" s="203">
        <v>0</v>
      </c>
      <c r="BG16" s="197"/>
      <c r="BH16" s="197"/>
      <c r="BI16" s="198">
        <f t="shared" si="7"/>
        <v>17</v>
      </c>
    </row>
    <row r="17" spans="1:61" ht="15" x14ac:dyDescent="0.25">
      <c r="A17" s="1537" t="s">
        <v>688</v>
      </c>
      <c r="B17" s="200">
        <v>0</v>
      </c>
      <c r="C17" s="200">
        <v>0</v>
      </c>
      <c r="D17" s="200">
        <v>0</v>
      </c>
      <c r="E17" s="200">
        <v>0</v>
      </c>
      <c r="F17" s="200">
        <v>0</v>
      </c>
      <c r="G17" s="200">
        <v>0</v>
      </c>
      <c r="H17" s="200">
        <v>0</v>
      </c>
      <c r="I17" s="200">
        <v>0</v>
      </c>
      <c r="J17" s="200">
        <v>0</v>
      </c>
      <c r="K17" s="200">
        <v>0</v>
      </c>
      <c r="L17" s="200">
        <v>0</v>
      </c>
      <c r="M17" s="200">
        <v>0</v>
      </c>
      <c r="N17" s="197"/>
      <c r="O17" s="197"/>
      <c r="P17" s="198">
        <f t="shared" si="4"/>
        <v>0</v>
      </c>
      <c r="Q17" s="201">
        <v>0</v>
      </c>
      <c r="R17" s="201">
        <v>0</v>
      </c>
      <c r="S17" s="201">
        <v>0</v>
      </c>
      <c r="T17" s="201">
        <v>0</v>
      </c>
      <c r="U17" s="201">
        <v>0</v>
      </c>
      <c r="V17" s="201">
        <v>0</v>
      </c>
      <c r="W17" s="201">
        <v>0</v>
      </c>
      <c r="X17" s="201">
        <v>0</v>
      </c>
      <c r="Y17" s="201">
        <v>0</v>
      </c>
      <c r="Z17" s="201">
        <v>0</v>
      </c>
      <c r="AA17" s="201">
        <v>0</v>
      </c>
      <c r="AB17" s="201">
        <v>0</v>
      </c>
      <c r="AC17" s="197"/>
      <c r="AD17" s="197"/>
      <c r="AE17" s="198">
        <f t="shared" si="5"/>
        <v>0</v>
      </c>
      <c r="AF17" s="202">
        <v>0</v>
      </c>
      <c r="AG17" s="202">
        <v>0</v>
      </c>
      <c r="AH17" s="202">
        <v>0</v>
      </c>
      <c r="AI17" s="202">
        <v>0</v>
      </c>
      <c r="AJ17" s="202">
        <v>0</v>
      </c>
      <c r="AK17" s="202">
        <v>0</v>
      </c>
      <c r="AL17" s="202">
        <v>0</v>
      </c>
      <c r="AM17" s="202">
        <v>0</v>
      </c>
      <c r="AN17" s="202">
        <v>0</v>
      </c>
      <c r="AO17" s="202">
        <v>0</v>
      </c>
      <c r="AP17" s="202">
        <v>0</v>
      </c>
      <c r="AQ17" s="202">
        <v>0</v>
      </c>
      <c r="AR17" s="197"/>
      <c r="AS17" s="197"/>
      <c r="AT17" s="198">
        <f t="shared" si="6"/>
        <v>0</v>
      </c>
      <c r="AU17" s="203">
        <v>0</v>
      </c>
      <c r="AV17" s="203">
        <v>0</v>
      </c>
      <c r="AW17" s="203">
        <v>0</v>
      </c>
      <c r="AX17" s="203">
        <v>0</v>
      </c>
      <c r="AY17" s="203">
        <v>0</v>
      </c>
      <c r="AZ17" s="203">
        <v>0</v>
      </c>
      <c r="BA17" s="203">
        <v>0</v>
      </c>
      <c r="BB17" s="203">
        <v>0</v>
      </c>
      <c r="BC17" s="203">
        <v>0</v>
      </c>
      <c r="BD17" s="203">
        <v>0</v>
      </c>
      <c r="BE17" s="203">
        <v>0</v>
      </c>
      <c r="BF17" s="203">
        <v>0</v>
      </c>
      <c r="BG17" s="197"/>
      <c r="BH17" s="197"/>
      <c r="BI17" s="198">
        <f t="shared" si="7"/>
        <v>0</v>
      </c>
    </row>
    <row r="18" spans="1:61" ht="15" x14ac:dyDescent="0.25">
      <c r="A18" s="1537" t="s">
        <v>689</v>
      </c>
      <c r="B18" s="200">
        <v>0</v>
      </c>
      <c r="C18" s="200">
        <v>0</v>
      </c>
      <c r="D18" s="200">
        <v>0</v>
      </c>
      <c r="E18" s="200">
        <v>0</v>
      </c>
      <c r="F18" s="200">
        <v>0</v>
      </c>
      <c r="G18" s="200">
        <v>0</v>
      </c>
      <c r="H18" s="200">
        <v>0</v>
      </c>
      <c r="I18" s="200">
        <v>0</v>
      </c>
      <c r="J18" s="200">
        <v>0</v>
      </c>
      <c r="K18" s="200">
        <v>0</v>
      </c>
      <c r="L18" s="200">
        <v>1</v>
      </c>
      <c r="M18" s="200">
        <v>0</v>
      </c>
      <c r="N18" s="197"/>
      <c r="O18" s="197"/>
      <c r="P18" s="198">
        <f t="shared" si="4"/>
        <v>1</v>
      </c>
      <c r="Q18" s="201">
        <v>3</v>
      </c>
      <c r="R18" s="201">
        <v>1</v>
      </c>
      <c r="S18" s="201">
        <v>1</v>
      </c>
      <c r="T18" s="201">
        <v>1</v>
      </c>
      <c r="U18" s="201">
        <v>1</v>
      </c>
      <c r="V18" s="201">
        <v>1</v>
      </c>
      <c r="W18" s="201">
        <v>1</v>
      </c>
      <c r="X18" s="201">
        <v>1</v>
      </c>
      <c r="Y18" s="201">
        <v>2</v>
      </c>
      <c r="Z18" s="201">
        <v>1</v>
      </c>
      <c r="AA18" s="201">
        <v>2</v>
      </c>
      <c r="AB18" s="201">
        <v>0</v>
      </c>
      <c r="AC18" s="197"/>
      <c r="AD18" s="197"/>
      <c r="AE18" s="198">
        <f t="shared" si="5"/>
        <v>15</v>
      </c>
      <c r="AF18" s="202">
        <v>2</v>
      </c>
      <c r="AG18" s="202">
        <v>0</v>
      </c>
      <c r="AH18" s="202">
        <v>0</v>
      </c>
      <c r="AI18" s="202">
        <v>0</v>
      </c>
      <c r="AJ18" s="202">
        <v>2</v>
      </c>
      <c r="AK18" s="202">
        <v>2</v>
      </c>
      <c r="AL18" s="202">
        <v>4</v>
      </c>
      <c r="AM18" s="202">
        <v>0</v>
      </c>
      <c r="AN18" s="202">
        <v>1</v>
      </c>
      <c r="AO18" s="202">
        <v>2</v>
      </c>
      <c r="AP18" s="202">
        <v>2</v>
      </c>
      <c r="AQ18" s="202">
        <v>1</v>
      </c>
      <c r="AR18" s="197"/>
      <c r="AS18" s="197"/>
      <c r="AT18" s="198">
        <f t="shared" si="6"/>
        <v>16</v>
      </c>
      <c r="AU18" s="203">
        <v>1</v>
      </c>
      <c r="AV18" s="203">
        <v>0</v>
      </c>
      <c r="AW18" s="203">
        <v>0</v>
      </c>
      <c r="AX18" s="203">
        <v>0</v>
      </c>
      <c r="AY18" s="203">
        <v>1</v>
      </c>
      <c r="AZ18" s="203">
        <v>1</v>
      </c>
      <c r="BA18" s="203">
        <v>1</v>
      </c>
      <c r="BB18" s="203">
        <v>0</v>
      </c>
      <c r="BC18" s="203">
        <v>0</v>
      </c>
      <c r="BD18" s="203">
        <v>1</v>
      </c>
      <c r="BE18" s="203">
        <v>0</v>
      </c>
      <c r="BF18" s="203">
        <v>0</v>
      </c>
      <c r="BG18" s="197"/>
      <c r="BH18" s="197"/>
      <c r="BI18" s="198">
        <f t="shared" si="7"/>
        <v>5</v>
      </c>
    </row>
    <row r="19" spans="1:61" ht="15" x14ac:dyDescent="0.25">
      <c r="A19" s="1537" t="s">
        <v>690</v>
      </c>
      <c r="B19" s="200">
        <v>1</v>
      </c>
      <c r="C19" s="200">
        <v>0</v>
      </c>
      <c r="D19" s="200">
        <v>2</v>
      </c>
      <c r="E19" s="200">
        <v>1</v>
      </c>
      <c r="F19" s="200">
        <v>0</v>
      </c>
      <c r="G19" s="200">
        <v>1</v>
      </c>
      <c r="H19" s="200">
        <v>0</v>
      </c>
      <c r="I19" s="200">
        <v>3</v>
      </c>
      <c r="J19" s="200">
        <v>1</v>
      </c>
      <c r="K19" s="200">
        <v>0</v>
      </c>
      <c r="L19" s="200">
        <v>0</v>
      </c>
      <c r="M19" s="200">
        <v>0</v>
      </c>
      <c r="N19" s="197"/>
      <c r="O19" s="197"/>
      <c r="P19" s="198">
        <f t="shared" si="4"/>
        <v>9</v>
      </c>
      <c r="Q19" s="201">
        <v>0</v>
      </c>
      <c r="R19" s="201">
        <v>0</v>
      </c>
      <c r="S19" s="201">
        <v>0</v>
      </c>
      <c r="T19" s="201">
        <v>0</v>
      </c>
      <c r="U19" s="201">
        <v>2</v>
      </c>
      <c r="V19" s="201">
        <v>1</v>
      </c>
      <c r="W19" s="201">
        <v>0</v>
      </c>
      <c r="X19" s="201">
        <v>2</v>
      </c>
      <c r="Y19" s="201">
        <v>2</v>
      </c>
      <c r="Z19" s="201">
        <v>2</v>
      </c>
      <c r="AA19" s="201">
        <v>1</v>
      </c>
      <c r="AB19" s="201">
        <v>1</v>
      </c>
      <c r="AC19" s="197"/>
      <c r="AD19" s="197"/>
      <c r="AE19" s="198">
        <f t="shared" si="5"/>
        <v>11</v>
      </c>
      <c r="AF19" s="202">
        <v>2</v>
      </c>
      <c r="AG19" s="202">
        <v>1</v>
      </c>
      <c r="AH19" s="202">
        <v>6</v>
      </c>
      <c r="AI19" s="202">
        <v>2</v>
      </c>
      <c r="AJ19" s="202">
        <v>3</v>
      </c>
      <c r="AK19" s="202">
        <v>1</v>
      </c>
      <c r="AL19" s="202">
        <v>6</v>
      </c>
      <c r="AM19" s="202">
        <v>4</v>
      </c>
      <c r="AN19" s="202">
        <v>3</v>
      </c>
      <c r="AO19" s="202">
        <v>5</v>
      </c>
      <c r="AP19" s="202">
        <v>4</v>
      </c>
      <c r="AQ19" s="202">
        <v>0</v>
      </c>
      <c r="AR19" s="197"/>
      <c r="AS19" s="197"/>
      <c r="AT19" s="198">
        <f t="shared" si="6"/>
        <v>37</v>
      </c>
      <c r="AU19" s="203">
        <v>1</v>
      </c>
      <c r="AV19" s="203">
        <v>1</v>
      </c>
      <c r="AW19" s="203">
        <v>2</v>
      </c>
      <c r="AX19" s="203">
        <v>1</v>
      </c>
      <c r="AY19" s="203">
        <v>0</v>
      </c>
      <c r="AZ19" s="203">
        <v>0</v>
      </c>
      <c r="BA19" s="203">
        <v>0</v>
      </c>
      <c r="BB19" s="203">
        <v>1</v>
      </c>
      <c r="BC19" s="203">
        <v>3</v>
      </c>
      <c r="BD19" s="203">
        <v>0</v>
      </c>
      <c r="BE19" s="203">
        <v>0</v>
      </c>
      <c r="BF19" s="203">
        <v>2</v>
      </c>
      <c r="BG19" s="197"/>
      <c r="BH19" s="197"/>
      <c r="BI19" s="198">
        <f t="shared" si="7"/>
        <v>11</v>
      </c>
    </row>
    <row r="20" spans="1:61" ht="15" x14ac:dyDescent="0.25">
      <c r="A20" s="1537" t="s">
        <v>691</v>
      </c>
      <c r="B20" s="200">
        <v>0</v>
      </c>
      <c r="C20" s="200">
        <v>0</v>
      </c>
      <c r="D20" s="200">
        <v>3</v>
      </c>
      <c r="E20" s="200">
        <v>2</v>
      </c>
      <c r="F20" s="200">
        <v>7</v>
      </c>
      <c r="G20" s="200">
        <v>10</v>
      </c>
      <c r="H20" s="200">
        <v>7</v>
      </c>
      <c r="I20" s="200">
        <v>10</v>
      </c>
      <c r="J20" s="200">
        <v>5</v>
      </c>
      <c r="K20" s="200">
        <v>10</v>
      </c>
      <c r="L20" s="200">
        <v>11</v>
      </c>
      <c r="M20" s="200">
        <v>6</v>
      </c>
      <c r="N20" s="197"/>
      <c r="O20" s="197"/>
      <c r="P20" s="198">
        <f t="shared" si="4"/>
        <v>71</v>
      </c>
      <c r="Q20" s="201">
        <v>2</v>
      </c>
      <c r="R20" s="201">
        <v>1</v>
      </c>
      <c r="S20" s="201">
        <v>4</v>
      </c>
      <c r="T20" s="201">
        <v>0</v>
      </c>
      <c r="U20" s="201">
        <v>6</v>
      </c>
      <c r="V20" s="201">
        <v>0</v>
      </c>
      <c r="W20" s="201">
        <v>2</v>
      </c>
      <c r="X20" s="201">
        <v>4</v>
      </c>
      <c r="Y20" s="201">
        <v>2</v>
      </c>
      <c r="Z20" s="201">
        <v>0</v>
      </c>
      <c r="AA20" s="201">
        <v>0</v>
      </c>
      <c r="AB20" s="201">
        <v>0</v>
      </c>
      <c r="AC20" s="197"/>
      <c r="AD20" s="197"/>
      <c r="AE20" s="198">
        <f t="shared" si="5"/>
        <v>21</v>
      </c>
      <c r="AF20" s="202">
        <v>2</v>
      </c>
      <c r="AG20" s="202">
        <v>1</v>
      </c>
      <c r="AH20" s="202">
        <v>5</v>
      </c>
      <c r="AI20" s="202">
        <v>2</v>
      </c>
      <c r="AJ20" s="202">
        <v>6</v>
      </c>
      <c r="AK20" s="202">
        <v>1</v>
      </c>
      <c r="AL20" s="202">
        <v>4</v>
      </c>
      <c r="AM20" s="202">
        <v>6</v>
      </c>
      <c r="AN20" s="202">
        <v>3</v>
      </c>
      <c r="AO20" s="202">
        <v>0</v>
      </c>
      <c r="AP20" s="202">
        <v>1</v>
      </c>
      <c r="AQ20" s="202">
        <v>1</v>
      </c>
      <c r="AR20" s="197"/>
      <c r="AS20" s="197"/>
      <c r="AT20" s="198">
        <f t="shared" si="6"/>
        <v>32</v>
      </c>
      <c r="AU20" s="203">
        <v>2</v>
      </c>
      <c r="AV20" s="203">
        <v>1</v>
      </c>
      <c r="AW20" s="203">
        <v>7</v>
      </c>
      <c r="AX20" s="203">
        <v>0</v>
      </c>
      <c r="AY20" s="203">
        <v>7</v>
      </c>
      <c r="AZ20" s="203">
        <v>0</v>
      </c>
      <c r="BA20" s="203">
        <v>0</v>
      </c>
      <c r="BB20" s="203">
        <v>0</v>
      </c>
      <c r="BC20" s="203">
        <v>2</v>
      </c>
      <c r="BD20" s="203">
        <v>4</v>
      </c>
      <c r="BE20" s="203">
        <v>1</v>
      </c>
      <c r="BF20" s="203">
        <v>0</v>
      </c>
      <c r="BG20" s="197"/>
      <c r="BH20" s="197"/>
      <c r="BI20" s="198">
        <f t="shared" si="7"/>
        <v>24</v>
      </c>
    </row>
    <row r="21" spans="1:61" ht="15" x14ac:dyDescent="0.25">
      <c r="A21" s="1537" t="s">
        <v>692</v>
      </c>
      <c r="B21" s="200">
        <v>0</v>
      </c>
      <c r="C21" s="200">
        <v>0</v>
      </c>
      <c r="D21" s="200">
        <v>0</v>
      </c>
      <c r="E21" s="200">
        <v>0</v>
      </c>
      <c r="F21" s="200">
        <v>0</v>
      </c>
      <c r="G21" s="200">
        <v>0</v>
      </c>
      <c r="H21" s="200">
        <v>0</v>
      </c>
      <c r="I21" s="200">
        <v>0</v>
      </c>
      <c r="J21" s="200">
        <v>0</v>
      </c>
      <c r="K21" s="200">
        <v>0</v>
      </c>
      <c r="L21" s="200">
        <v>0</v>
      </c>
      <c r="M21" s="200">
        <v>0</v>
      </c>
      <c r="N21" s="197"/>
      <c r="O21" s="197"/>
      <c r="P21" s="198">
        <f t="shared" si="4"/>
        <v>0</v>
      </c>
      <c r="Q21" s="201">
        <v>2</v>
      </c>
      <c r="R21" s="201">
        <v>0</v>
      </c>
      <c r="S21" s="201">
        <v>0</v>
      </c>
      <c r="T21" s="201">
        <v>0</v>
      </c>
      <c r="U21" s="201">
        <v>3</v>
      </c>
      <c r="V21" s="201">
        <v>0</v>
      </c>
      <c r="W21" s="201">
        <v>1</v>
      </c>
      <c r="X21" s="201">
        <v>3</v>
      </c>
      <c r="Y21" s="201">
        <v>2</v>
      </c>
      <c r="Z21" s="201">
        <v>0</v>
      </c>
      <c r="AA21" s="201">
        <v>3</v>
      </c>
      <c r="AB21" s="201">
        <v>0</v>
      </c>
      <c r="AC21" s="197"/>
      <c r="AD21" s="197"/>
      <c r="AE21" s="198">
        <f t="shared" si="5"/>
        <v>14</v>
      </c>
      <c r="AF21" s="202">
        <v>5</v>
      </c>
      <c r="AG21" s="202">
        <v>1</v>
      </c>
      <c r="AH21" s="202">
        <v>2</v>
      </c>
      <c r="AI21" s="202">
        <v>3</v>
      </c>
      <c r="AJ21" s="202">
        <v>5</v>
      </c>
      <c r="AK21" s="202">
        <v>5</v>
      </c>
      <c r="AL21" s="202">
        <v>4</v>
      </c>
      <c r="AM21" s="202">
        <v>1</v>
      </c>
      <c r="AN21" s="202">
        <v>1</v>
      </c>
      <c r="AO21" s="202">
        <v>1</v>
      </c>
      <c r="AP21" s="202">
        <v>3</v>
      </c>
      <c r="AQ21" s="202">
        <v>11</v>
      </c>
      <c r="AR21" s="197"/>
      <c r="AS21" s="197"/>
      <c r="AT21" s="198">
        <f t="shared" si="6"/>
        <v>42</v>
      </c>
      <c r="AU21" s="203">
        <v>2</v>
      </c>
      <c r="AV21" s="203">
        <v>1</v>
      </c>
      <c r="AW21" s="203">
        <v>3</v>
      </c>
      <c r="AX21" s="203">
        <v>1</v>
      </c>
      <c r="AY21" s="203">
        <v>4</v>
      </c>
      <c r="AZ21" s="203">
        <v>1</v>
      </c>
      <c r="BA21" s="203">
        <v>1</v>
      </c>
      <c r="BB21" s="203">
        <v>1</v>
      </c>
      <c r="BC21" s="203">
        <v>0</v>
      </c>
      <c r="BD21" s="203">
        <v>0</v>
      </c>
      <c r="BE21" s="203">
        <v>0</v>
      </c>
      <c r="BF21" s="203">
        <v>0</v>
      </c>
      <c r="BG21" s="197"/>
      <c r="BH21" s="197"/>
      <c r="BI21" s="198">
        <f t="shared" si="7"/>
        <v>14</v>
      </c>
    </row>
    <row r="22" spans="1:61" ht="15" x14ac:dyDescent="0.25">
      <c r="A22" s="1537" t="s">
        <v>693</v>
      </c>
      <c r="B22" s="200">
        <v>0</v>
      </c>
      <c r="C22" s="200">
        <v>0</v>
      </c>
      <c r="D22" s="200">
        <v>0</v>
      </c>
      <c r="E22" s="200">
        <v>0</v>
      </c>
      <c r="F22" s="200">
        <v>1</v>
      </c>
      <c r="G22" s="200">
        <v>0</v>
      </c>
      <c r="H22" s="200">
        <v>0</v>
      </c>
      <c r="I22" s="200">
        <v>0</v>
      </c>
      <c r="J22" s="200">
        <v>0</v>
      </c>
      <c r="K22" s="200">
        <v>0</v>
      </c>
      <c r="L22" s="200">
        <v>1</v>
      </c>
      <c r="M22" s="200">
        <v>1</v>
      </c>
      <c r="N22" s="197"/>
      <c r="O22" s="197"/>
      <c r="P22" s="198">
        <f t="shared" si="4"/>
        <v>3</v>
      </c>
      <c r="Q22" s="201">
        <v>2</v>
      </c>
      <c r="R22" s="201">
        <v>0</v>
      </c>
      <c r="S22" s="201">
        <v>0</v>
      </c>
      <c r="T22" s="201">
        <v>0</v>
      </c>
      <c r="U22" s="201">
        <v>0</v>
      </c>
      <c r="V22" s="201">
        <v>0</v>
      </c>
      <c r="W22" s="201">
        <v>2</v>
      </c>
      <c r="X22" s="201">
        <v>0</v>
      </c>
      <c r="Y22" s="201">
        <v>0</v>
      </c>
      <c r="Z22" s="201">
        <v>0</v>
      </c>
      <c r="AA22" s="201">
        <v>0</v>
      </c>
      <c r="AB22" s="201">
        <v>1</v>
      </c>
      <c r="AC22" s="197"/>
      <c r="AD22" s="197"/>
      <c r="AE22" s="198">
        <f t="shared" si="5"/>
        <v>5</v>
      </c>
      <c r="AF22" s="202">
        <v>0</v>
      </c>
      <c r="AG22" s="202">
        <v>0</v>
      </c>
      <c r="AH22" s="202">
        <v>1</v>
      </c>
      <c r="AI22" s="202">
        <v>2</v>
      </c>
      <c r="AJ22" s="202">
        <v>0</v>
      </c>
      <c r="AK22" s="202">
        <v>0</v>
      </c>
      <c r="AL22" s="202">
        <v>3</v>
      </c>
      <c r="AM22" s="202">
        <v>0</v>
      </c>
      <c r="AN22" s="202">
        <v>0</v>
      </c>
      <c r="AO22" s="202">
        <v>0</v>
      </c>
      <c r="AP22" s="202">
        <v>2</v>
      </c>
      <c r="AQ22" s="202">
        <v>0</v>
      </c>
      <c r="AR22" s="197"/>
      <c r="AS22" s="197"/>
      <c r="AT22" s="198">
        <f t="shared" si="6"/>
        <v>8</v>
      </c>
      <c r="AU22" s="203">
        <v>2</v>
      </c>
      <c r="AV22" s="203">
        <v>0</v>
      </c>
      <c r="AW22" s="203">
        <v>0</v>
      </c>
      <c r="AX22" s="203">
        <v>0</v>
      </c>
      <c r="AY22" s="203">
        <v>0</v>
      </c>
      <c r="AZ22" s="203">
        <v>0</v>
      </c>
      <c r="BA22" s="203">
        <v>0</v>
      </c>
      <c r="BB22" s="203">
        <v>0</v>
      </c>
      <c r="BC22" s="203">
        <v>0</v>
      </c>
      <c r="BD22" s="203">
        <v>1</v>
      </c>
      <c r="BE22" s="203">
        <v>0</v>
      </c>
      <c r="BF22" s="203">
        <v>0</v>
      </c>
      <c r="BG22" s="197"/>
      <c r="BH22" s="197"/>
      <c r="BI22" s="198">
        <f t="shared" si="7"/>
        <v>3</v>
      </c>
    </row>
    <row r="23" spans="1:61" ht="15" x14ac:dyDescent="0.25">
      <c r="A23" s="1536" t="s">
        <v>694</v>
      </c>
      <c r="B23" s="1538">
        <f>SUM(B14:B22)</f>
        <v>3</v>
      </c>
      <c r="C23" s="1538">
        <f t="shared" ref="C23:BI23" si="9">SUM(C14:C22)</f>
        <v>2</v>
      </c>
      <c r="D23" s="1538">
        <f t="shared" si="9"/>
        <v>6</v>
      </c>
      <c r="E23" s="1538">
        <f t="shared" si="9"/>
        <v>4</v>
      </c>
      <c r="F23" s="1538">
        <f t="shared" si="9"/>
        <v>9</v>
      </c>
      <c r="G23" s="1538">
        <f t="shared" si="9"/>
        <v>11</v>
      </c>
      <c r="H23" s="1538">
        <f t="shared" si="9"/>
        <v>7</v>
      </c>
      <c r="I23" s="1538">
        <f t="shared" si="9"/>
        <v>14</v>
      </c>
      <c r="J23" s="1538">
        <f t="shared" si="9"/>
        <v>8</v>
      </c>
      <c r="K23" s="1538">
        <f t="shared" si="9"/>
        <v>10</v>
      </c>
      <c r="L23" s="1538">
        <f t="shared" si="9"/>
        <v>17</v>
      </c>
      <c r="M23" s="1538">
        <f t="shared" si="9"/>
        <v>7</v>
      </c>
      <c r="N23" s="1539">
        <f>B23+D23+F23+H23+J23+L23</f>
        <v>50</v>
      </c>
      <c r="O23" s="1539">
        <f>C23+E23+G23+I23+K23+M23</f>
        <v>48</v>
      </c>
      <c r="P23" s="1538">
        <f t="shared" si="9"/>
        <v>98</v>
      </c>
      <c r="Q23" s="1538">
        <f t="shared" si="9"/>
        <v>12</v>
      </c>
      <c r="R23" s="1538">
        <f t="shared" si="9"/>
        <v>4</v>
      </c>
      <c r="S23" s="1538">
        <f t="shared" si="9"/>
        <v>9</v>
      </c>
      <c r="T23" s="1538">
        <f t="shared" si="9"/>
        <v>4</v>
      </c>
      <c r="U23" s="1538">
        <f t="shared" si="9"/>
        <v>16</v>
      </c>
      <c r="V23" s="1538">
        <f t="shared" si="9"/>
        <v>4</v>
      </c>
      <c r="W23" s="1538">
        <f t="shared" si="9"/>
        <v>8</v>
      </c>
      <c r="X23" s="1538">
        <f t="shared" si="9"/>
        <v>10</v>
      </c>
      <c r="Y23" s="1538">
        <f t="shared" si="9"/>
        <v>8</v>
      </c>
      <c r="Z23" s="1538">
        <f t="shared" si="9"/>
        <v>4</v>
      </c>
      <c r="AA23" s="1538">
        <f t="shared" si="9"/>
        <v>9</v>
      </c>
      <c r="AB23" s="1538">
        <f t="shared" si="9"/>
        <v>2</v>
      </c>
      <c r="AC23" s="1539">
        <f>Q23+S23+U23+W23+Y23+AA23</f>
        <v>62</v>
      </c>
      <c r="AD23" s="1539">
        <f>R23+T23+V23+X23+Z23+AB23</f>
        <v>28</v>
      </c>
      <c r="AE23" s="1538">
        <f t="shared" si="9"/>
        <v>90</v>
      </c>
      <c r="AF23" s="1538">
        <f t="shared" si="9"/>
        <v>16</v>
      </c>
      <c r="AG23" s="1538">
        <f t="shared" si="9"/>
        <v>4</v>
      </c>
      <c r="AH23" s="1538">
        <f t="shared" si="9"/>
        <v>21</v>
      </c>
      <c r="AI23" s="1538">
        <f t="shared" si="9"/>
        <v>14</v>
      </c>
      <c r="AJ23" s="1538">
        <f t="shared" si="9"/>
        <v>26</v>
      </c>
      <c r="AK23" s="1538">
        <f t="shared" si="9"/>
        <v>15</v>
      </c>
      <c r="AL23" s="1538">
        <f t="shared" si="9"/>
        <v>29</v>
      </c>
      <c r="AM23" s="1538">
        <f t="shared" si="9"/>
        <v>16</v>
      </c>
      <c r="AN23" s="1538">
        <f t="shared" si="9"/>
        <v>13</v>
      </c>
      <c r="AO23" s="1538">
        <f t="shared" si="9"/>
        <v>9</v>
      </c>
      <c r="AP23" s="1538">
        <f t="shared" si="9"/>
        <v>16</v>
      </c>
      <c r="AQ23" s="1538">
        <f t="shared" si="9"/>
        <v>15</v>
      </c>
      <c r="AR23" s="1539">
        <f>AF23+AH23+AJ23+AL23+AN23+AP23</f>
        <v>121</v>
      </c>
      <c r="AS23" s="1539">
        <f>AG23+AI23+AK23+AM23+AO23+AQ23</f>
        <v>73</v>
      </c>
      <c r="AT23" s="1538">
        <f t="shared" si="9"/>
        <v>194</v>
      </c>
      <c r="AU23" s="1538">
        <f t="shared" si="9"/>
        <v>11</v>
      </c>
      <c r="AV23" s="1538">
        <f t="shared" si="9"/>
        <v>5</v>
      </c>
      <c r="AW23" s="1538">
        <f t="shared" si="9"/>
        <v>21</v>
      </c>
      <c r="AX23" s="1538">
        <f t="shared" si="9"/>
        <v>4</v>
      </c>
      <c r="AY23" s="1538">
        <f t="shared" si="9"/>
        <v>18</v>
      </c>
      <c r="AZ23" s="1538">
        <f t="shared" si="9"/>
        <v>5</v>
      </c>
      <c r="BA23" s="1538">
        <f t="shared" si="9"/>
        <v>9</v>
      </c>
      <c r="BB23" s="1538">
        <f t="shared" si="9"/>
        <v>4</v>
      </c>
      <c r="BC23" s="1538">
        <f t="shared" si="9"/>
        <v>5</v>
      </c>
      <c r="BD23" s="1538">
        <f t="shared" si="9"/>
        <v>8</v>
      </c>
      <c r="BE23" s="1538">
        <f t="shared" si="9"/>
        <v>3</v>
      </c>
      <c r="BF23" s="1538">
        <f t="shared" si="9"/>
        <v>2</v>
      </c>
      <c r="BG23" s="1539">
        <f>AU23+AW23+AY23+BA23+BC23+BE23</f>
        <v>67</v>
      </c>
      <c r="BH23" s="1539">
        <f>AV23+AX23+AZ23+BB23+BD23+BF23</f>
        <v>28</v>
      </c>
      <c r="BI23" s="1538">
        <f t="shared" si="9"/>
        <v>95</v>
      </c>
    </row>
    <row r="24" spans="1:61" ht="15" x14ac:dyDescent="0.25">
      <c r="A24" s="1537" t="s">
        <v>695</v>
      </c>
      <c r="B24" s="200">
        <v>2</v>
      </c>
      <c r="C24" s="200">
        <v>3</v>
      </c>
      <c r="D24" s="200">
        <v>0</v>
      </c>
      <c r="E24" s="200">
        <v>0</v>
      </c>
      <c r="F24" s="200">
        <v>0</v>
      </c>
      <c r="G24" s="200">
        <v>0</v>
      </c>
      <c r="H24" s="200">
        <v>0</v>
      </c>
      <c r="I24" s="200">
        <v>0</v>
      </c>
      <c r="J24" s="200">
        <v>0</v>
      </c>
      <c r="K24" s="200">
        <v>0</v>
      </c>
      <c r="L24" s="200">
        <v>1</v>
      </c>
      <c r="M24" s="200">
        <v>0</v>
      </c>
      <c r="N24" s="197"/>
      <c r="O24" s="197"/>
      <c r="P24" s="198">
        <f t="shared" si="4"/>
        <v>6</v>
      </c>
      <c r="Q24" s="201">
        <v>0</v>
      </c>
      <c r="R24" s="201">
        <v>2</v>
      </c>
      <c r="S24" s="201">
        <v>4</v>
      </c>
      <c r="T24" s="201">
        <v>4</v>
      </c>
      <c r="U24" s="201">
        <v>2</v>
      </c>
      <c r="V24" s="201">
        <v>1</v>
      </c>
      <c r="W24" s="201">
        <v>2</v>
      </c>
      <c r="X24" s="201">
        <v>1</v>
      </c>
      <c r="Y24" s="201">
        <v>1</v>
      </c>
      <c r="Z24" s="201">
        <v>0</v>
      </c>
      <c r="AA24" s="201">
        <v>0</v>
      </c>
      <c r="AB24" s="201">
        <v>0</v>
      </c>
      <c r="AC24" s="197"/>
      <c r="AD24" s="197"/>
      <c r="AE24" s="198">
        <f t="shared" si="5"/>
        <v>17</v>
      </c>
      <c r="AF24" s="202">
        <v>7</v>
      </c>
      <c r="AG24" s="202">
        <v>4</v>
      </c>
      <c r="AH24" s="202">
        <v>12</v>
      </c>
      <c r="AI24" s="202">
        <v>3</v>
      </c>
      <c r="AJ24" s="202">
        <v>4</v>
      </c>
      <c r="AK24" s="202">
        <v>9</v>
      </c>
      <c r="AL24" s="202">
        <v>5</v>
      </c>
      <c r="AM24" s="202">
        <v>6</v>
      </c>
      <c r="AN24" s="202">
        <v>4</v>
      </c>
      <c r="AO24" s="202">
        <v>3</v>
      </c>
      <c r="AP24" s="202">
        <v>0</v>
      </c>
      <c r="AQ24" s="202">
        <v>0</v>
      </c>
      <c r="AR24" s="197"/>
      <c r="AS24" s="197"/>
      <c r="AT24" s="198">
        <f t="shared" si="6"/>
        <v>57</v>
      </c>
      <c r="AU24" s="203">
        <v>0</v>
      </c>
      <c r="AV24" s="203">
        <v>3</v>
      </c>
      <c r="AW24" s="203">
        <v>2</v>
      </c>
      <c r="AX24" s="203">
        <v>2</v>
      </c>
      <c r="AY24" s="203">
        <v>1</v>
      </c>
      <c r="AZ24" s="203">
        <v>0</v>
      </c>
      <c r="BA24" s="203">
        <v>1</v>
      </c>
      <c r="BB24" s="203">
        <v>0</v>
      </c>
      <c r="BC24" s="203">
        <v>1</v>
      </c>
      <c r="BD24" s="203">
        <v>0</v>
      </c>
      <c r="BE24" s="203">
        <v>1</v>
      </c>
      <c r="BF24" s="203">
        <v>0</v>
      </c>
      <c r="BG24" s="197"/>
      <c r="BH24" s="197"/>
      <c r="BI24" s="198">
        <f t="shared" si="7"/>
        <v>11</v>
      </c>
    </row>
    <row r="25" spans="1:61" ht="15" x14ac:dyDescent="0.25">
      <c r="A25" s="1537" t="s">
        <v>696</v>
      </c>
      <c r="B25" s="200">
        <v>0</v>
      </c>
      <c r="C25" s="200">
        <v>0</v>
      </c>
      <c r="D25" s="200">
        <v>2</v>
      </c>
      <c r="E25" s="200">
        <v>4</v>
      </c>
      <c r="F25" s="200">
        <v>1</v>
      </c>
      <c r="G25" s="200">
        <v>2</v>
      </c>
      <c r="H25" s="200">
        <v>0</v>
      </c>
      <c r="I25" s="200">
        <v>1</v>
      </c>
      <c r="J25" s="200">
        <v>0</v>
      </c>
      <c r="K25" s="200">
        <v>1</v>
      </c>
      <c r="L25" s="200">
        <v>0</v>
      </c>
      <c r="M25" s="200">
        <v>1</v>
      </c>
      <c r="N25" s="197"/>
      <c r="O25" s="197"/>
      <c r="P25" s="198">
        <f t="shared" si="4"/>
        <v>12</v>
      </c>
      <c r="Q25" s="201">
        <v>2</v>
      </c>
      <c r="R25" s="201">
        <v>0</v>
      </c>
      <c r="S25" s="201">
        <v>0</v>
      </c>
      <c r="T25" s="201">
        <v>1</v>
      </c>
      <c r="U25" s="201">
        <v>4</v>
      </c>
      <c r="V25" s="201">
        <v>0</v>
      </c>
      <c r="W25" s="201">
        <v>1</v>
      </c>
      <c r="X25" s="201">
        <v>0</v>
      </c>
      <c r="Y25" s="201">
        <v>0</v>
      </c>
      <c r="Z25" s="201">
        <v>0</v>
      </c>
      <c r="AA25" s="201">
        <v>0</v>
      </c>
      <c r="AB25" s="201">
        <v>0</v>
      </c>
      <c r="AC25" s="197"/>
      <c r="AD25" s="197"/>
      <c r="AE25" s="198">
        <f t="shared" si="5"/>
        <v>8</v>
      </c>
      <c r="AF25" s="202">
        <v>12</v>
      </c>
      <c r="AG25" s="202">
        <v>0</v>
      </c>
      <c r="AH25" s="202">
        <v>12</v>
      </c>
      <c r="AI25" s="202">
        <v>3</v>
      </c>
      <c r="AJ25" s="202">
        <v>3</v>
      </c>
      <c r="AK25" s="202">
        <v>0</v>
      </c>
      <c r="AL25" s="202">
        <v>2</v>
      </c>
      <c r="AM25" s="202">
        <v>1</v>
      </c>
      <c r="AN25" s="202">
        <v>3</v>
      </c>
      <c r="AO25" s="202">
        <v>6</v>
      </c>
      <c r="AP25" s="202">
        <v>1</v>
      </c>
      <c r="AQ25" s="202">
        <v>0</v>
      </c>
      <c r="AR25" s="197"/>
      <c r="AS25" s="197"/>
      <c r="AT25" s="198">
        <f t="shared" si="6"/>
        <v>43</v>
      </c>
      <c r="AU25" s="203">
        <v>2</v>
      </c>
      <c r="AV25" s="203">
        <v>0</v>
      </c>
      <c r="AW25" s="203">
        <v>4</v>
      </c>
      <c r="AX25" s="203">
        <v>0</v>
      </c>
      <c r="AY25" s="203">
        <v>2</v>
      </c>
      <c r="AZ25" s="203">
        <v>2</v>
      </c>
      <c r="BA25" s="203">
        <v>2</v>
      </c>
      <c r="BB25" s="203">
        <v>0</v>
      </c>
      <c r="BC25" s="203">
        <v>1</v>
      </c>
      <c r="BD25" s="203">
        <v>0</v>
      </c>
      <c r="BE25" s="203">
        <v>0</v>
      </c>
      <c r="BF25" s="203">
        <v>1</v>
      </c>
      <c r="BG25" s="197"/>
      <c r="BH25" s="197"/>
      <c r="BI25" s="198">
        <f t="shared" si="7"/>
        <v>14</v>
      </c>
    </row>
    <row r="26" spans="1:61" ht="15" x14ac:dyDescent="0.25">
      <c r="A26" s="1537" t="s">
        <v>697</v>
      </c>
      <c r="B26" s="200">
        <v>2</v>
      </c>
      <c r="C26" s="200">
        <v>1</v>
      </c>
      <c r="D26" s="200">
        <v>0</v>
      </c>
      <c r="E26" s="200">
        <v>0</v>
      </c>
      <c r="F26" s="200">
        <v>0</v>
      </c>
      <c r="G26" s="200">
        <v>1</v>
      </c>
      <c r="H26" s="200">
        <v>1</v>
      </c>
      <c r="I26" s="200">
        <v>3</v>
      </c>
      <c r="J26" s="200">
        <v>1</v>
      </c>
      <c r="K26" s="200">
        <v>0</v>
      </c>
      <c r="L26" s="200">
        <v>0</v>
      </c>
      <c r="M26" s="200">
        <v>0</v>
      </c>
      <c r="N26" s="197"/>
      <c r="O26" s="197"/>
      <c r="P26" s="198">
        <f t="shared" si="4"/>
        <v>9</v>
      </c>
      <c r="Q26" s="201">
        <v>7</v>
      </c>
      <c r="R26" s="201">
        <v>3</v>
      </c>
      <c r="S26" s="201">
        <v>2</v>
      </c>
      <c r="T26" s="201">
        <v>5</v>
      </c>
      <c r="U26" s="201">
        <v>12</v>
      </c>
      <c r="V26" s="201">
        <v>6</v>
      </c>
      <c r="W26" s="201">
        <v>5</v>
      </c>
      <c r="X26" s="201">
        <v>2</v>
      </c>
      <c r="Y26" s="201">
        <v>5</v>
      </c>
      <c r="Z26" s="201">
        <v>8</v>
      </c>
      <c r="AA26" s="201">
        <v>9</v>
      </c>
      <c r="AB26" s="201">
        <v>12</v>
      </c>
      <c r="AC26" s="197"/>
      <c r="AD26" s="197"/>
      <c r="AE26" s="198">
        <f t="shared" si="5"/>
        <v>76</v>
      </c>
      <c r="AF26" s="202">
        <v>9</v>
      </c>
      <c r="AG26" s="202">
        <v>4</v>
      </c>
      <c r="AH26" s="202">
        <v>8</v>
      </c>
      <c r="AI26" s="202">
        <v>3</v>
      </c>
      <c r="AJ26" s="202">
        <v>1</v>
      </c>
      <c r="AK26" s="202">
        <v>2</v>
      </c>
      <c r="AL26" s="202">
        <v>4</v>
      </c>
      <c r="AM26" s="202">
        <v>7</v>
      </c>
      <c r="AN26" s="202">
        <v>6</v>
      </c>
      <c r="AO26" s="202">
        <v>6</v>
      </c>
      <c r="AP26" s="202">
        <v>3</v>
      </c>
      <c r="AQ26" s="202">
        <v>1</v>
      </c>
      <c r="AR26" s="197"/>
      <c r="AS26" s="197"/>
      <c r="AT26" s="198">
        <f t="shared" si="6"/>
        <v>54</v>
      </c>
      <c r="AU26" s="203">
        <v>0</v>
      </c>
      <c r="AV26" s="203">
        <v>1</v>
      </c>
      <c r="AW26" s="203">
        <v>0</v>
      </c>
      <c r="AX26" s="203">
        <v>0</v>
      </c>
      <c r="AY26" s="203">
        <v>0</v>
      </c>
      <c r="AZ26" s="203">
        <v>4</v>
      </c>
      <c r="BA26" s="203">
        <v>0</v>
      </c>
      <c r="BB26" s="203">
        <v>2</v>
      </c>
      <c r="BC26" s="203">
        <v>1</v>
      </c>
      <c r="BD26" s="203">
        <v>3</v>
      </c>
      <c r="BE26" s="203">
        <v>1</v>
      </c>
      <c r="BF26" s="203">
        <v>0</v>
      </c>
      <c r="BG26" s="197"/>
      <c r="BH26" s="197"/>
      <c r="BI26" s="198">
        <f t="shared" si="7"/>
        <v>12</v>
      </c>
    </row>
    <row r="27" spans="1:61" ht="15" x14ac:dyDescent="0.25">
      <c r="A27" s="1537" t="s">
        <v>698</v>
      </c>
      <c r="B27" s="200">
        <v>12</v>
      </c>
      <c r="C27" s="200">
        <v>6</v>
      </c>
      <c r="D27" s="200">
        <v>4</v>
      </c>
      <c r="E27" s="200">
        <v>2</v>
      </c>
      <c r="F27" s="200">
        <v>3</v>
      </c>
      <c r="G27" s="200">
        <v>2</v>
      </c>
      <c r="H27" s="200">
        <v>0</v>
      </c>
      <c r="I27" s="200">
        <v>1</v>
      </c>
      <c r="J27" s="200">
        <v>1</v>
      </c>
      <c r="K27" s="200">
        <v>0</v>
      </c>
      <c r="L27" s="200">
        <v>0</v>
      </c>
      <c r="M27" s="200">
        <v>0</v>
      </c>
      <c r="N27" s="197"/>
      <c r="O27" s="197"/>
      <c r="P27" s="198">
        <f t="shared" si="4"/>
        <v>31</v>
      </c>
      <c r="Q27" s="201">
        <v>1</v>
      </c>
      <c r="R27" s="201">
        <v>1</v>
      </c>
      <c r="S27" s="201">
        <v>2</v>
      </c>
      <c r="T27" s="201">
        <v>1</v>
      </c>
      <c r="U27" s="201">
        <v>2</v>
      </c>
      <c r="V27" s="201">
        <v>1</v>
      </c>
      <c r="W27" s="201">
        <v>2</v>
      </c>
      <c r="X27" s="201">
        <v>0</v>
      </c>
      <c r="Y27" s="201">
        <v>1</v>
      </c>
      <c r="Z27" s="201">
        <v>4</v>
      </c>
      <c r="AA27" s="201">
        <v>2</v>
      </c>
      <c r="AB27" s="201">
        <v>1</v>
      </c>
      <c r="AC27" s="197"/>
      <c r="AD27" s="197"/>
      <c r="AE27" s="198">
        <f t="shared" si="5"/>
        <v>18</v>
      </c>
      <c r="AF27" s="202">
        <v>11</v>
      </c>
      <c r="AG27" s="202">
        <v>4</v>
      </c>
      <c r="AH27" s="202">
        <v>6</v>
      </c>
      <c r="AI27" s="202">
        <v>5</v>
      </c>
      <c r="AJ27" s="202">
        <v>11</v>
      </c>
      <c r="AK27" s="202">
        <v>2</v>
      </c>
      <c r="AL27" s="202">
        <v>2</v>
      </c>
      <c r="AM27" s="202">
        <v>5</v>
      </c>
      <c r="AN27" s="202">
        <v>3</v>
      </c>
      <c r="AO27" s="202">
        <v>4</v>
      </c>
      <c r="AP27" s="202">
        <v>2</v>
      </c>
      <c r="AQ27" s="202">
        <v>1</v>
      </c>
      <c r="AR27" s="197"/>
      <c r="AS27" s="197"/>
      <c r="AT27" s="198">
        <f t="shared" si="6"/>
        <v>56</v>
      </c>
      <c r="AU27" s="203">
        <v>6</v>
      </c>
      <c r="AV27" s="203">
        <v>2</v>
      </c>
      <c r="AW27" s="203">
        <v>1</v>
      </c>
      <c r="AX27" s="203">
        <v>1</v>
      </c>
      <c r="AY27" s="203">
        <v>1</v>
      </c>
      <c r="AZ27" s="203">
        <v>1</v>
      </c>
      <c r="BA27" s="203">
        <v>2</v>
      </c>
      <c r="BB27" s="203">
        <v>0</v>
      </c>
      <c r="BC27" s="203">
        <v>1</v>
      </c>
      <c r="BD27" s="203">
        <v>0</v>
      </c>
      <c r="BE27" s="203">
        <v>4</v>
      </c>
      <c r="BF27" s="203">
        <v>0</v>
      </c>
      <c r="BG27" s="197"/>
      <c r="BH27" s="197"/>
      <c r="BI27" s="198">
        <f t="shared" si="7"/>
        <v>19</v>
      </c>
    </row>
    <row r="28" spans="1:61" ht="15" x14ac:dyDescent="0.25">
      <c r="A28" s="1537" t="s">
        <v>699</v>
      </c>
      <c r="B28" s="200">
        <v>0</v>
      </c>
      <c r="C28" s="200">
        <v>1</v>
      </c>
      <c r="D28" s="200">
        <v>2</v>
      </c>
      <c r="E28" s="200">
        <v>1</v>
      </c>
      <c r="F28" s="200">
        <v>2</v>
      </c>
      <c r="G28" s="200">
        <v>2</v>
      </c>
      <c r="H28" s="200">
        <v>4</v>
      </c>
      <c r="I28" s="200">
        <v>2</v>
      </c>
      <c r="J28" s="200">
        <v>2</v>
      </c>
      <c r="K28" s="200">
        <v>3</v>
      </c>
      <c r="L28" s="200">
        <v>1</v>
      </c>
      <c r="M28" s="200">
        <v>0</v>
      </c>
      <c r="N28" s="197"/>
      <c r="O28" s="197"/>
      <c r="P28" s="198">
        <f t="shared" si="4"/>
        <v>20</v>
      </c>
      <c r="Q28" s="201">
        <v>12</v>
      </c>
      <c r="R28" s="201">
        <v>3</v>
      </c>
      <c r="S28" s="201">
        <v>0</v>
      </c>
      <c r="T28" s="201">
        <v>2</v>
      </c>
      <c r="U28" s="201">
        <v>2</v>
      </c>
      <c r="V28" s="201">
        <v>2</v>
      </c>
      <c r="W28" s="201">
        <v>0</v>
      </c>
      <c r="X28" s="201">
        <v>3</v>
      </c>
      <c r="Y28" s="201">
        <v>1</v>
      </c>
      <c r="Z28" s="201">
        <v>2</v>
      </c>
      <c r="AA28" s="201">
        <v>2</v>
      </c>
      <c r="AB28" s="201">
        <v>20</v>
      </c>
      <c r="AC28" s="197"/>
      <c r="AD28" s="197"/>
      <c r="AE28" s="198">
        <f t="shared" si="5"/>
        <v>49</v>
      </c>
      <c r="AF28" s="202">
        <v>2</v>
      </c>
      <c r="AG28" s="202">
        <v>0</v>
      </c>
      <c r="AH28" s="202">
        <v>2</v>
      </c>
      <c r="AI28" s="202">
        <v>4</v>
      </c>
      <c r="AJ28" s="202">
        <v>2</v>
      </c>
      <c r="AK28" s="202">
        <v>2</v>
      </c>
      <c r="AL28" s="202">
        <v>5</v>
      </c>
      <c r="AM28" s="202">
        <v>1</v>
      </c>
      <c r="AN28" s="202">
        <v>1</v>
      </c>
      <c r="AO28" s="202">
        <v>2</v>
      </c>
      <c r="AP28" s="202">
        <v>0</v>
      </c>
      <c r="AQ28" s="202">
        <v>2</v>
      </c>
      <c r="AR28" s="197"/>
      <c r="AS28" s="197"/>
      <c r="AT28" s="198">
        <f t="shared" si="6"/>
        <v>23</v>
      </c>
      <c r="AU28" s="203">
        <v>1</v>
      </c>
      <c r="AV28" s="203">
        <v>0</v>
      </c>
      <c r="AW28" s="203">
        <v>1</v>
      </c>
      <c r="AX28" s="203">
        <v>10</v>
      </c>
      <c r="AY28" s="203">
        <v>2</v>
      </c>
      <c r="AZ28" s="203">
        <v>0</v>
      </c>
      <c r="BA28" s="203">
        <v>1</v>
      </c>
      <c r="BB28" s="203">
        <v>2</v>
      </c>
      <c r="BC28" s="203">
        <v>1</v>
      </c>
      <c r="BD28" s="203">
        <v>1</v>
      </c>
      <c r="BE28" s="203">
        <v>0</v>
      </c>
      <c r="BF28" s="203">
        <v>0</v>
      </c>
      <c r="BG28" s="197"/>
      <c r="BH28" s="197"/>
      <c r="BI28" s="198">
        <f t="shared" si="7"/>
        <v>19</v>
      </c>
    </row>
    <row r="29" spans="1:61" ht="15" x14ac:dyDescent="0.25">
      <c r="A29" s="1537" t="s">
        <v>700</v>
      </c>
      <c r="B29" s="200">
        <v>2</v>
      </c>
      <c r="C29" s="200">
        <v>2</v>
      </c>
      <c r="D29" s="200">
        <v>6</v>
      </c>
      <c r="E29" s="200">
        <v>1</v>
      </c>
      <c r="F29" s="200">
        <v>4</v>
      </c>
      <c r="G29" s="200">
        <v>2</v>
      </c>
      <c r="H29" s="200">
        <v>2</v>
      </c>
      <c r="I29" s="200">
        <v>2</v>
      </c>
      <c r="J29" s="200">
        <v>2</v>
      </c>
      <c r="K29" s="200">
        <v>1</v>
      </c>
      <c r="L29" s="200">
        <v>3</v>
      </c>
      <c r="M29" s="200">
        <v>0</v>
      </c>
      <c r="N29" s="197"/>
      <c r="O29" s="197"/>
      <c r="P29" s="198">
        <f t="shared" si="4"/>
        <v>27</v>
      </c>
      <c r="Q29" s="201">
        <v>7</v>
      </c>
      <c r="R29" s="201">
        <v>3</v>
      </c>
      <c r="S29" s="201">
        <v>5</v>
      </c>
      <c r="T29" s="201">
        <v>2</v>
      </c>
      <c r="U29" s="201">
        <v>7</v>
      </c>
      <c r="V29" s="201">
        <v>2</v>
      </c>
      <c r="W29" s="201">
        <v>5</v>
      </c>
      <c r="X29" s="201">
        <v>0</v>
      </c>
      <c r="Y29" s="201">
        <v>2</v>
      </c>
      <c r="Z29" s="201">
        <v>1</v>
      </c>
      <c r="AA29" s="201">
        <v>1</v>
      </c>
      <c r="AB29" s="201">
        <v>2</v>
      </c>
      <c r="AC29" s="197"/>
      <c r="AD29" s="197"/>
      <c r="AE29" s="198">
        <f t="shared" si="5"/>
        <v>37</v>
      </c>
      <c r="AF29" s="202">
        <v>14</v>
      </c>
      <c r="AG29" s="202">
        <v>9</v>
      </c>
      <c r="AH29" s="202">
        <v>18</v>
      </c>
      <c r="AI29" s="202">
        <v>4</v>
      </c>
      <c r="AJ29" s="202">
        <v>16</v>
      </c>
      <c r="AK29" s="202">
        <v>4</v>
      </c>
      <c r="AL29" s="202">
        <v>8</v>
      </c>
      <c r="AM29" s="202">
        <v>4</v>
      </c>
      <c r="AN29" s="202">
        <v>11</v>
      </c>
      <c r="AO29" s="202">
        <v>2</v>
      </c>
      <c r="AP29" s="202">
        <v>3</v>
      </c>
      <c r="AQ29" s="202">
        <v>3</v>
      </c>
      <c r="AR29" s="197"/>
      <c r="AS29" s="197"/>
      <c r="AT29" s="198">
        <f t="shared" si="6"/>
        <v>96</v>
      </c>
      <c r="AU29" s="203">
        <v>2</v>
      </c>
      <c r="AV29" s="203">
        <v>4</v>
      </c>
      <c r="AW29" s="203">
        <v>1</v>
      </c>
      <c r="AX29" s="203">
        <v>2</v>
      </c>
      <c r="AY29" s="203">
        <v>1</v>
      </c>
      <c r="AZ29" s="203">
        <v>0</v>
      </c>
      <c r="BA29" s="203">
        <v>3</v>
      </c>
      <c r="BB29" s="203">
        <v>2</v>
      </c>
      <c r="BC29" s="203">
        <v>4</v>
      </c>
      <c r="BD29" s="203">
        <v>1</v>
      </c>
      <c r="BE29" s="203">
        <v>1</v>
      </c>
      <c r="BF29" s="203">
        <v>1</v>
      </c>
      <c r="BG29" s="197"/>
      <c r="BH29" s="197"/>
      <c r="BI29" s="198">
        <f t="shared" si="7"/>
        <v>22</v>
      </c>
    </row>
    <row r="30" spans="1:61" ht="15" x14ac:dyDescent="0.25">
      <c r="A30" s="1537" t="s">
        <v>701</v>
      </c>
      <c r="B30" s="200">
        <v>2</v>
      </c>
      <c r="C30" s="200">
        <v>4</v>
      </c>
      <c r="D30" s="200">
        <v>3</v>
      </c>
      <c r="E30" s="200">
        <v>3</v>
      </c>
      <c r="F30" s="200">
        <v>2</v>
      </c>
      <c r="G30" s="200">
        <v>1</v>
      </c>
      <c r="H30" s="200">
        <v>2</v>
      </c>
      <c r="I30" s="200">
        <v>1</v>
      </c>
      <c r="J30" s="200">
        <v>0</v>
      </c>
      <c r="K30" s="200">
        <v>1</v>
      </c>
      <c r="L30" s="200">
        <v>0</v>
      </c>
      <c r="M30" s="200">
        <v>0</v>
      </c>
      <c r="N30" s="197"/>
      <c r="O30" s="197"/>
      <c r="P30" s="198">
        <f t="shared" si="4"/>
        <v>19</v>
      </c>
      <c r="Q30" s="201">
        <v>2</v>
      </c>
      <c r="R30" s="201">
        <v>1</v>
      </c>
      <c r="S30" s="201">
        <v>3</v>
      </c>
      <c r="T30" s="201">
        <v>2</v>
      </c>
      <c r="U30" s="201">
        <v>4</v>
      </c>
      <c r="V30" s="201">
        <v>1</v>
      </c>
      <c r="W30" s="201">
        <v>2</v>
      </c>
      <c r="X30" s="201">
        <v>1</v>
      </c>
      <c r="Y30" s="201">
        <v>2</v>
      </c>
      <c r="Z30" s="201">
        <v>0</v>
      </c>
      <c r="AA30" s="201">
        <v>1</v>
      </c>
      <c r="AB30" s="201">
        <v>0</v>
      </c>
      <c r="AC30" s="197"/>
      <c r="AD30" s="197"/>
      <c r="AE30" s="198">
        <f t="shared" si="5"/>
        <v>19</v>
      </c>
      <c r="AF30" s="202">
        <v>7</v>
      </c>
      <c r="AG30" s="202">
        <v>5</v>
      </c>
      <c r="AH30" s="202">
        <v>10</v>
      </c>
      <c r="AI30" s="202">
        <v>9</v>
      </c>
      <c r="AJ30" s="202">
        <v>6</v>
      </c>
      <c r="AK30" s="202">
        <v>5</v>
      </c>
      <c r="AL30" s="202">
        <v>5</v>
      </c>
      <c r="AM30" s="202">
        <v>5</v>
      </c>
      <c r="AN30" s="202">
        <v>1</v>
      </c>
      <c r="AO30" s="202">
        <v>4</v>
      </c>
      <c r="AP30" s="202">
        <v>3</v>
      </c>
      <c r="AQ30" s="202">
        <v>11</v>
      </c>
      <c r="AR30" s="197"/>
      <c r="AS30" s="197"/>
      <c r="AT30" s="198">
        <f t="shared" si="6"/>
        <v>71</v>
      </c>
      <c r="AU30" s="203">
        <v>5</v>
      </c>
      <c r="AV30" s="203">
        <v>1</v>
      </c>
      <c r="AW30" s="203">
        <v>6</v>
      </c>
      <c r="AX30" s="203">
        <v>2</v>
      </c>
      <c r="AY30" s="203">
        <v>4</v>
      </c>
      <c r="AZ30" s="203">
        <v>1</v>
      </c>
      <c r="BA30" s="203">
        <v>3</v>
      </c>
      <c r="BB30" s="203">
        <v>6</v>
      </c>
      <c r="BC30" s="203">
        <v>1</v>
      </c>
      <c r="BD30" s="203">
        <v>3</v>
      </c>
      <c r="BE30" s="203">
        <v>1</v>
      </c>
      <c r="BF30" s="203">
        <v>0</v>
      </c>
      <c r="BG30" s="197"/>
      <c r="BH30" s="197"/>
      <c r="BI30" s="198">
        <f t="shared" si="7"/>
        <v>33</v>
      </c>
    </row>
    <row r="31" spans="1:61" ht="15" x14ac:dyDescent="0.25">
      <c r="A31" s="1536" t="s">
        <v>702</v>
      </c>
      <c r="B31" s="1538">
        <f>SUM(B24:B30)</f>
        <v>20</v>
      </c>
      <c r="C31" s="1538">
        <f t="shared" ref="C31:BI31" si="10">SUM(C24:C30)</f>
        <v>17</v>
      </c>
      <c r="D31" s="1538">
        <f t="shared" si="10"/>
        <v>17</v>
      </c>
      <c r="E31" s="1538">
        <f t="shared" si="10"/>
        <v>11</v>
      </c>
      <c r="F31" s="1538">
        <f t="shared" si="10"/>
        <v>12</v>
      </c>
      <c r="G31" s="1538">
        <f t="shared" si="10"/>
        <v>10</v>
      </c>
      <c r="H31" s="1538">
        <f t="shared" si="10"/>
        <v>9</v>
      </c>
      <c r="I31" s="1538">
        <f t="shared" si="10"/>
        <v>10</v>
      </c>
      <c r="J31" s="1538">
        <f t="shared" si="10"/>
        <v>6</v>
      </c>
      <c r="K31" s="1538">
        <f t="shared" si="10"/>
        <v>6</v>
      </c>
      <c r="L31" s="1538">
        <f t="shared" si="10"/>
        <v>5</v>
      </c>
      <c r="M31" s="1538">
        <f t="shared" si="10"/>
        <v>1</v>
      </c>
      <c r="N31" s="1539">
        <f>B31+D31+F31+H31+J31+L31</f>
        <v>69</v>
      </c>
      <c r="O31" s="1539">
        <f>C31+E31+G31+I31+K31+M31</f>
        <v>55</v>
      </c>
      <c r="P31" s="1538">
        <f t="shared" si="10"/>
        <v>124</v>
      </c>
      <c r="Q31" s="1538">
        <f t="shared" si="10"/>
        <v>31</v>
      </c>
      <c r="R31" s="1538">
        <f t="shared" si="10"/>
        <v>13</v>
      </c>
      <c r="S31" s="1538">
        <f t="shared" si="10"/>
        <v>16</v>
      </c>
      <c r="T31" s="1538">
        <f t="shared" si="10"/>
        <v>17</v>
      </c>
      <c r="U31" s="1538">
        <f t="shared" si="10"/>
        <v>33</v>
      </c>
      <c r="V31" s="1538">
        <f t="shared" si="10"/>
        <v>13</v>
      </c>
      <c r="W31" s="1538">
        <f t="shared" si="10"/>
        <v>17</v>
      </c>
      <c r="X31" s="1538">
        <f t="shared" si="10"/>
        <v>7</v>
      </c>
      <c r="Y31" s="1538">
        <f t="shared" si="10"/>
        <v>12</v>
      </c>
      <c r="Z31" s="1538">
        <f t="shared" si="10"/>
        <v>15</v>
      </c>
      <c r="AA31" s="1538">
        <f t="shared" si="10"/>
        <v>15</v>
      </c>
      <c r="AB31" s="1538">
        <f t="shared" si="10"/>
        <v>35</v>
      </c>
      <c r="AC31" s="1539">
        <f>Q31+S31+U31+W31+Y31+AA31</f>
        <v>124</v>
      </c>
      <c r="AD31" s="1539">
        <f>R31+T31+V31+X31+Z31+AB31</f>
        <v>100</v>
      </c>
      <c r="AE31" s="1538">
        <f t="shared" si="10"/>
        <v>224</v>
      </c>
      <c r="AF31" s="1538">
        <f t="shared" si="10"/>
        <v>62</v>
      </c>
      <c r="AG31" s="1538">
        <f t="shared" si="10"/>
        <v>26</v>
      </c>
      <c r="AH31" s="1538">
        <f t="shared" si="10"/>
        <v>68</v>
      </c>
      <c r="AI31" s="1538">
        <f t="shared" si="10"/>
        <v>31</v>
      </c>
      <c r="AJ31" s="1538">
        <f t="shared" si="10"/>
        <v>43</v>
      </c>
      <c r="AK31" s="1538">
        <f t="shared" si="10"/>
        <v>24</v>
      </c>
      <c r="AL31" s="1538">
        <f t="shared" si="10"/>
        <v>31</v>
      </c>
      <c r="AM31" s="1538">
        <f t="shared" si="10"/>
        <v>29</v>
      </c>
      <c r="AN31" s="1538">
        <f t="shared" si="10"/>
        <v>29</v>
      </c>
      <c r="AO31" s="1538">
        <f t="shared" si="10"/>
        <v>27</v>
      </c>
      <c r="AP31" s="1538">
        <f t="shared" si="10"/>
        <v>12</v>
      </c>
      <c r="AQ31" s="1538">
        <f t="shared" si="10"/>
        <v>18</v>
      </c>
      <c r="AR31" s="1539">
        <f>AF31+AH31+AJ31+AL31+AN31+AP31</f>
        <v>245</v>
      </c>
      <c r="AS31" s="1539">
        <f>AG31+AI31+AK31+AM31+AO31+AQ31</f>
        <v>155</v>
      </c>
      <c r="AT31" s="1538">
        <f t="shared" si="10"/>
        <v>400</v>
      </c>
      <c r="AU31" s="1538">
        <f t="shared" si="10"/>
        <v>16</v>
      </c>
      <c r="AV31" s="1538">
        <f t="shared" si="10"/>
        <v>11</v>
      </c>
      <c r="AW31" s="1538">
        <f t="shared" si="10"/>
        <v>15</v>
      </c>
      <c r="AX31" s="1538">
        <f t="shared" si="10"/>
        <v>17</v>
      </c>
      <c r="AY31" s="1538">
        <f t="shared" si="10"/>
        <v>11</v>
      </c>
      <c r="AZ31" s="1538">
        <f t="shared" si="10"/>
        <v>8</v>
      </c>
      <c r="BA31" s="1538">
        <f t="shared" si="10"/>
        <v>12</v>
      </c>
      <c r="BB31" s="1538">
        <f t="shared" si="10"/>
        <v>12</v>
      </c>
      <c r="BC31" s="1538">
        <f t="shared" si="10"/>
        <v>10</v>
      </c>
      <c r="BD31" s="1538">
        <f t="shared" si="10"/>
        <v>8</v>
      </c>
      <c r="BE31" s="1538">
        <f t="shared" si="10"/>
        <v>8</v>
      </c>
      <c r="BF31" s="1538">
        <f t="shared" si="10"/>
        <v>2</v>
      </c>
      <c r="BG31" s="1539">
        <f>AU31+AW31+AY31+BA31+BC31+BE31</f>
        <v>72</v>
      </c>
      <c r="BH31" s="1539">
        <f>AV31+AX31+AZ31+BB31+BD31+BF31</f>
        <v>58</v>
      </c>
      <c r="BI31" s="1538">
        <f t="shared" si="10"/>
        <v>130</v>
      </c>
    </row>
    <row r="32" spans="1:61" ht="15.75" thickBot="1" x14ac:dyDescent="0.3">
      <c r="A32" s="1540" t="s">
        <v>703</v>
      </c>
      <c r="B32" s="1541">
        <f>B7+B8+B9+B13+B23+B31</f>
        <v>58</v>
      </c>
      <c r="C32" s="1541">
        <f t="shared" ref="C32:BI32" si="11">C7+C8+C9+C13+C23+C31</f>
        <v>46</v>
      </c>
      <c r="D32" s="1541">
        <f t="shared" si="11"/>
        <v>51</v>
      </c>
      <c r="E32" s="1541">
        <f t="shared" si="11"/>
        <v>28</v>
      </c>
      <c r="F32" s="1541">
        <f t="shared" si="11"/>
        <v>49</v>
      </c>
      <c r="G32" s="1541">
        <f t="shared" si="11"/>
        <v>44</v>
      </c>
      <c r="H32" s="1541">
        <f t="shared" si="11"/>
        <v>46</v>
      </c>
      <c r="I32" s="1541">
        <f t="shared" si="11"/>
        <v>37</v>
      </c>
      <c r="J32" s="1541">
        <f t="shared" si="11"/>
        <v>40</v>
      </c>
      <c r="K32" s="1541">
        <f t="shared" si="11"/>
        <v>42</v>
      </c>
      <c r="L32" s="1541">
        <f t="shared" si="11"/>
        <v>40</v>
      </c>
      <c r="M32" s="1541">
        <f t="shared" si="11"/>
        <v>37</v>
      </c>
      <c r="N32" s="1542">
        <f>B32+D32+F32+H32+J32+L32</f>
        <v>284</v>
      </c>
      <c r="O32" s="1542">
        <f>C32+E32+G32+I32+K32+M32</f>
        <v>234</v>
      </c>
      <c r="P32" s="1541">
        <f t="shared" si="11"/>
        <v>518</v>
      </c>
      <c r="Q32" s="1541">
        <f t="shared" si="11"/>
        <v>260</v>
      </c>
      <c r="R32" s="1541">
        <f t="shared" si="11"/>
        <v>193</v>
      </c>
      <c r="S32" s="1541">
        <f t="shared" si="11"/>
        <v>280</v>
      </c>
      <c r="T32" s="1541">
        <f t="shared" si="11"/>
        <v>226</v>
      </c>
      <c r="U32" s="1541">
        <f t="shared" si="11"/>
        <v>316</v>
      </c>
      <c r="V32" s="1541">
        <f t="shared" si="11"/>
        <v>195</v>
      </c>
      <c r="W32" s="1541">
        <f t="shared" si="11"/>
        <v>247</v>
      </c>
      <c r="X32" s="1541">
        <f t="shared" si="11"/>
        <v>224</v>
      </c>
      <c r="Y32" s="1541">
        <f t="shared" si="11"/>
        <v>317</v>
      </c>
      <c r="Z32" s="1541">
        <f t="shared" si="11"/>
        <v>193</v>
      </c>
      <c r="AA32" s="1541">
        <f t="shared" si="11"/>
        <v>276</v>
      </c>
      <c r="AB32" s="1541">
        <f t="shared" si="11"/>
        <v>137</v>
      </c>
      <c r="AC32" s="1542">
        <f>SUM(AC7:AC31)</f>
        <v>1696</v>
      </c>
      <c r="AD32" s="1542">
        <f>SUM(AD7:AD31)</f>
        <v>1168</v>
      </c>
      <c r="AE32" s="1541">
        <f t="shared" si="11"/>
        <v>2864</v>
      </c>
      <c r="AF32" s="1541">
        <f t="shared" si="11"/>
        <v>176</v>
      </c>
      <c r="AG32" s="1541">
        <f t="shared" si="11"/>
        <v>109</v>
      </c>
      <c r="AH32" s="1541">
        <f t="shared" si="11"/>
        <v>161</v>
      </c>
      <c r="AI32" s="1541">
        <f t="shared" si="11"/>
        <v>101</v>
      </c>
      <c r="AJ32" s="1541">
        <f t="shared" si="11"/>
        <v>130</v>
      </c>
      <c r="AK32" s="1541">
        <f t="shared" si="11"/>
        <v>104</v>
      </c>
      <c r="AL32" s="1541">
        <f t="shared" si="11"/>
        <v>138</v>
      </c>
      <c r="AM32" s="1541">
        <f t="shared" si="11"/>
        <v>86</v>
      </c>
      <c r="AN32" s="1541">
        <f t="shared" si="11"/>
        <v>84</v>
      </c>
      <c r="AO32" s="1541">
        <f t="shared" si="11"/>
        <v>68</v>
      </c>
      <c r="AP32" s="1541">
        <f t="shared" si="11"/>
        <v>52</v>
      </c>
      <c r="AQ32" s="1541">
        <f t="shared" si="11"/>
        <v>53</v>
      </c>
      <c r="AR32" s="1542">
        <f>SUM(AR7:AR31)</f>
        <v>741</v>
      </c>
      <c r="AS32" s="1541">
        <f>SUM(AS7:AS31)</f>
        <v>521</v>
      </c>
      <c r="AT32" s="1541">
        <f t="shared" si="11"/>
        <v>1262</v>
      </c>
      <c r="AU32" s="1541">
        <f t="shared" si="11"/>
        <v>251</v>
      </c>
      <c r="AV32" s="1541">
        <f t="shared" si="11"/>
        <v>153</v>
      </c>
      <c r="AW32" s="1541">
        <f t="shared" si="11"/>
        <v>153</v>
      </c>
      <c r="AX32" s="1541">
        <f t="shared" si="11"/>
        <v>77</v>
      </c>
      <c r="AY32" s="1541">
        <f t="shared" si="11"/>
        <v>119</v>
      </c>
      <c r="AZ32" s="1541">
        <f t="shared" si="11"/>
        <v>57</v>
      </c>
      <c r="BA32" s="1541">
        <f t="shared" si="11"/>
        <v>65</v>
      </c>
      <c r="BB32" s="1541">
        <f t="shared" si="11"/>
        <v>59</v>
      </c>
      <c r="BC32" s="1541">
        <f t="shared" si="11"/>
        <v>39</v>
      </c>
      <c r="BD32" s="1541">
        <f t="shared" si="11"/>
        <v>43</v>
      </c>
      <c r="BE32" s="1541">
        <f t="shared" si="11"/>
        <v>39</v>
      </c>
      <c r="BF32" s="1541">
        <f t="shared" si="11"/>
        <v>26</v>
      </c>
      <c r="BG32" s="1542">
        <f>SUM(BG7:BG31)</f>
        <v>666</v>
      </c>
      <c r="BH32" s="1542">
        <f>SUM(BH7:BH31)</f>
        <v>415</v>
      </c>
      <c r="BI32" s="1541">
        <f t="shared" si="11"/>
        <v>1081</v>
      </c>
    </row>
    <row r="34" spans="1:19" ht="15" x14ac:dyDescent="0.25">
      <c r="A34" s="1543" t="s">
        <v>704</v>
      </c>
    </row>
    <row r="35" spans="1:19" ht="15" x14ac:dyDescent="0.25">
      <c r="A35" s="1544"/>
      <c r="B35" s="2603" t="s">
        <v>705</v>
      </c>
      <c r="C35" s="2603"/>
      <c r="D35" s="2603" t="s">
        <v>706</v>
      </c>
      <c r="E35" s="2603"/>
      <c r="F35" s="2603" t="s">
        <v>707</v>
      </c>
      <c r="G35" s="2603"/>
      <c r="H35" s="2603" t="s">
        <v>708</v>
      </c>
      <c r="I35" s="2603"/>
      <c r="J35" s="2596" t="s">
        <v>68</v>
      </c>
      <c r="K35" s="2597"/>
      <c r="L35" s="2598"/>
    </row>
    <row r="36" spans="1:19" ht="15" x14ac:dyDescent="0.25">
      <c r="A36" s="1545" t="s">
        <v>221</v>
      </c>
      <c r="B36" s="1546" t="s">
        <v>48</v>
      </c>
      <c r="C36" s="1547" t="s">
        <v>47</v>
      </c>
      <c r="D36" s="1547" t="s">
        <v>48</v>
      </c>
      <c r="E36" s="1547" t="s">
        <v>47</v>
      </c>
      <c r="F36" s="1547" t="s">
        <v>48</v>
      </c>
      <c r="G36" s="1547" t="s">
        <v>47</v>
      </c>
      <c r="H36" s="1547" t="s">
        <v>48</v>
      </c>
      <c r="I36" s="1547" t="s">
        <v>47</v>
      </c>
      <c r="J36" s="1548" t="s">
        <v>48</v>
      </c>
      <c r="K36" s="1548" t="s">
        <v>47</v>
      </c>
      <c r="L36" s="1548" t="s">
        <v>709</v>
      </c>
      <c r="M36" s="1549" t="s">
        <v>710</v>
      </c>
    </row>
    <row r="37" spans="1:19" ht="15" x14ac:dyDescent="0.25">
      <c r="A37" s="1545" t="s">
        <v>547</v>
      </c>
      <c r="B37" s="1550">
        <f t="shared" ref="B37:C39" si="12">N7</f>
        <v>12</v>
      </c>
      <c r="C37" s="1550">
        <f t="shared" si="12"/>
        <v>6</v>
      </c>
      <c r="D37" s="1550">
        <f t="shared" ref="D37:E39" si="13">AC7</f>
        <v>15</v>
      </c>
      <c r="E37" s="1550">
        <f t="shared" si="13"/>
        <v>5</v>
      </c>
      <c r="F37" s="1550">
        <f>AR7</f>
        <v>17</v>
      </c>
      <c r="G37" s="1550">
        <f>AD7</f>
        <v>5</v>
      </c>
      <c r="H37" s="1550">
        <f t="shared" ref="H37:I39" si="14">BG7</f>
        <v>29</v>
      </c>
      <c r="I37" s="1550">
        <f t="shared" si="14"/>
        <v>8</v>
      </c>
      <c r="J37" s="1551">
        <f t="shared" ref="J37:K42" si="15">B37+D37+F37+H37</f>
        <v>73</v>
      </c>
      <c r="K37" s="1551">
        <f t="shared" si="15"/>
        <v>24</v>
      </c>
      <c r="L37" s="1551">
        <f>J37+K37</f>
        <v>97</v>
      </c>
      <c r="M37" s="1552">
        <f t="shared" ref="M37:M43" si="16">K37/L37</f>
        <v>0.24742268041237114</v>
      </c>
    </row>
    <row r="38" spans="1:19" ht="15" x14ac:dyDescent="0.25">
      <c r="A38" s="1545" t="s">
        <v>553</v>
      </c>
      <c r="B38" s="1550">
        <f t="shared" si="12"/>
        <v>42</v>
      </c>
      <c r="C38" s="1550">
        <f t="shared" si="12"/>
        <v>44</v>
      </c>
      <c r="D38" s="1550">
        <f t="shared" si="13"/>
        <v>609</v>
      </c>
      <c r="E38" s="1550">
        <f t="shared" si="13"/>
        <v>452</v>
      </c>
      <c r="F38" s="1550">
        <f>AR8</f>
        <v>100</v>
      </c>
      <c r="G38" s="1550">
        <f>AD8</f>
        <v>452</v>
      </c>
      <c r="H38" s="1550">
        <f t="shared" si="14"/>
        <v>340</v>
      </c>
      <c r="I38" s="1550">
        <f t="shared" si="14"/>
        <v>221</v>
      </c>
      <c r="J38" s="1551">
        <f t="shared" si="15"/>
        <v>1091</v>
      </c>
      <c r="K38" s="1551">
        <f t="shared" si="15"/>
        <v>1169</v>
      </c>
      <c r="L38" s="1551">
        <f t="shared" ref="L38:L42" si="17">J38+K38</f>
        <v>2260</v>
      </c>
      <c r="M38" s="1526">
        <f t="shared" si="16"/>
        <v>0.51725663716814163</v>
      </c>
    </row>
    <row r="39" spans="1:19" ht="15" x14ac:dyDescent="0.25">
      <c r="A39" s="1545" t="s">
        <v>552</v>
      </c>
      <c r="B39" s="1550">
        <f t="shared" si="12"/>
        <v>34</v>
      </c>
      <c r="C39" s="1550">
        <f t="shared" si="12"/>
        <v>36</v>
      </c>
      <c r="D39" s="1550">
        <f t="shared" si="13"/>
        <v>80</v>
      </c>
      <c r="E39" s="1550">
        <f t="shared" si="13"/>
        <v>61</v>
      </c>
      <c r="F39" s="1550">
        <f>AR9</f>
        <v>82</v>
      </c>
      <c r="G39" s="1550">
        <f>AD9</f>
        <v>61</v>
      </c>
      <c r="H39" s="1550">
        <f t="shared" si="14"/>
        <v>66</v>
      </c>
      <c r="I39" s="1550">
        <f t="shared" si="14"/>
        <v>46</v>
      </c>
      <c r="J39" s="1551">
        <f t="shared" si="15"/>
        <v>262</v>
      </c>
      <c r="K39" s="1551">
        <f t="shared" si="15"/>
        <v>204</v>
      </c>
      <c r="L39" s="1551">
        <f>J39+K39</f>
        <v>466</v>
      </c>
      <c r="M39" s="1526">
        <f t="shared" si="16"/>
        <v>0.43776824034334766</v>
      </c>
    </row>
    <row r="40" spans="1:19" ht="15" x14ac:dyDescent="0.25">
      <c r="A40" s="1545" t="s">
        <v>573</v>
      </c>
      <c r="B40" s="1550">
        <f>N13</f>
        <v>77</v>
      </c>
      <c r="C40" s="1550">
        <f>O13</f>
        <v>45</v>
      </c>
      <c r="D40" s="1550">
        <f>AC13</f>
        <v>806</v>
      </c>
      <c r="E40" s="1550">
        <f>AD13</f>
        <v>522</v>
      </c>
      <c r="F40" s="1550">
        <f>AR13</f>
        <v>176</v>
      </c>
      <c r="G40" s="1550">
        <f>AS13</f>
        <v>135</v>
      </c>
      <c r="H40" s="1550">
        <f>BG13</f>
        <v>92</v>
      </c>
      <c r="I40" s="1550">
        <f>BH13</f>
        <v>54</v>
      </c>
      <c r="J40" s="1551">
        <f t="shared" si="15"/>
        <v>1151</v>
      </c>
      <c r="K40" s="1551">
        <f t="shared" si="15"/>
        <v>756</v>
      </c>
      <c r="L40" s="1551">
        <f t="shared" si="17"/>
        <v>1907</v>
      </c>
      <c r="M40" s="1552">
        <f t="shared" si="16"/>
        <v>0.39643418982695333</v>
      </c>
    </row>
    <row r="41" spans="1:19" ht="15" x14ac:dyDescent="0.25">
      <c r="A41" s="1545" t="s">
        <v>548</v>
      </c>
      <c r="B41" s="1550">
        <f>N23</f>
        <v>50</v>
      </c>
      <c r="C41" s="1550">
        <f>O23</f>
        <v>48</v>
      </c>
      <c r="D41" s="1550">
        <f>AC23</f>
        <v>62</v>
      </c>
      <c r="E41" s="1550">
        <f>AD23</f>
        <v>28</v>
      </c>
      <c r="F41" s="1550">
        <f>AR23</f>
        <v>121</v>
      </c>
      <c r="G41" s="1550">
        <f>AD23</f>
        <v>28</v>
      </c>
      <c r="H41" s="1550">
        <f>BG23</f>
        <v>67</v>
      </c>
      <c r="I41" s="1550">
        <f>BH23</f>
        <v>28</v>
      </c>
      <c r="J41" s="1551">
        <f t="shared" si="15"/>
        <v>300</v>
      </c>
      <c r="K41" s="1551">
        <f t="shared" si="15"/>
        <v>132</v>
      </c>
      <c r="L41" s="1551">
        <f t="shared" si="17"/>
        <v>432</v>
      </c>
      <c r="M41" s="1552">
        <f t="shared" si="16"/>
        <v>0.30555555555555558</v>
      </c>
    </row>
    <row r="42" spans="1:19" ht="15" x14ac:dyDescent="0.25">
      <c r="A42" s="1545" t="s">
        <v>549</v>
      </c>
      <c r="B42" s="1550">
        <f>N31</f>
        <v>69</v>
      </c>
      <c r="C42" s="1550">
        <f>O31</f>
        <v>55</v>
      </c>
      <c r="D42" s="1550">
        <f>AC31</f>
        <v>124</v>
      </c>
      <c r="E42" s="1550">
        <f>AD31</f>
        <v>100</v>
      </c>
      <c r="F42" s="1550">
        <f>AC31</f>
        <v>124</v>
      </c>
      <c r="G42" s="1550">
        <f>AD31</f>
        <v>100</v>
      </c>
      <c r="H42" s="1550">
        <f>BG31</f>
        <v>72</v>
      </c>
      <c r="I42" s="1550">
        <f>AD31</f>
        <v>100</v>
      </c>
      <c r="J42" s="1551">
        <f t="shared" si="15"/>
        <v>389</v>
      </c>
      <c r="K42" s="1551">
        <f t="shared" si="15"/>
        <v>355</v>
      </c>
      <c r="L42" s="1551">
        <f t="shared" si="17"/>
        <v>744</v>
      </c>
      <c r="M42" s="1526">
        <f t="shared" si="16"/>
        <v>0.47715053763440862</v>
      </c>
    </row>
    <row r="43" spans="1:19" ht="15" x14ac:dyDescent="0.25">
      <c r="A43" s="1545" t="s">
        <v>711</v>
      </c>
      <c r="B43" s="1544"/>
      <c r="C43" s="1544"/>
      <c r="D43" s="1544"/>
      <c r="E43" s="1544"/>
      <c r="F43" s="1544"/>
      <c r="G43" s="1544"/>
      <c r="H43" s="1544"/>
      <c r="I43" s="1544"/>
      <c r="J43" s="1553">
        <f>SUM(J37:J42)</f>
        <v>3266</v>
      </c>
      <c r="K43" s="1553">
        <f>SUM(K37:K42)</f>
        <v>2640</v>
      </c>
      <c r="L43" s="1553">
        <f>SUM(L37:L42)</f>
        <v>5906</v>
      </c>
      <c r="M43" s="1526">
        <f t="shared" si="16"/>
        <v>0.44700304774805283</v>
      </c>
    </row>
    <row r="45" spans="1:19" ht="15" x14ac:dyDescent="0.25">
      <c r="A45" s="1554" t="s">
        <v>712</v>
      </c>
    </row>
    <row r="46" spans="1:19" ht="15" x14ac:dyDescent="0.25">
      <c r="A46" s="1555"/>
      <c r="B46" s="2604" t="s">
        <v>713</v>
      </c>
      <c r="C46" s="2605"/>
      <c r="D46" s="2606"/>
      <c r="E46" s="1556" t="s">
        <v>714</v>
      </c>
      <c r="F46" s="1556"/>
      <c r="G46" s="1556"/>
      <c r="H46" s="1526" t="s">
        <v>715</v>
      </c>
      <c r="K46" s="1556" t="s">
        <v>716</v>
      </c>
      <c r="L46" s="1556"/>
      <c r="M46" s="1556"/>
      <c r="N46" s="1526" t="s">
        <v>717</v>
      </c>
      <c r="Q46" s="1556" t="s">
        <v>718</v>
      </c>
      <c r="R46" s="1556"/>
      <c r="S46" s="1556"/>
    </row>
    <row r="47" spans="1:19" ht="15" x14ac:dyDescent="0.25">
      <c r="A47" s="1545" t="s">
        <v>221</v>
      </c>
      <c r="B47" s="1547" t="s">
        <v>48</v>
      </c>
      <c r="C47" s="1547" t="s">
        <v>47</v>
      </c>
      <c r="D47" s="1557" t="s">
        <v>709</v>
      </c>
      <c r="E47" s="1558" t="s">
        <v>48</v>
      </c>
      <c r="F47" s="1558" t="s">
        <v>47</v>
      </c>
      <c r="G47" s="1558" t="s">
        <v>709</v>
      </c>
      <c r="H47" s="1547" t="s">
        <v>48</v>
      </c>
      <c r="I47" s="1547" t="s">
        <v>47</v>
      </c>
      <c r="J47" s="1557" t="s">
        <v>709</v>
      </c>
      <c r="K47" s="1558" t="s">
        <v>48</v>
      </c>
      <c r="L47" s="1558" t="s">
        <v>47</v>
      </c>
      <c r="M47" s="1558" t="s">
        <v>709</v>
      </c>
      <c r="N47" s="1547" t="s">
        <v>48</v>
      </c>
      <c r="O47" s="1547" t="s">
        <v>47</v>
      </c>
      <c r="P47" s="1557" t="s">
        <v>709</v>
      </c>
      <c r="Q47" s="1558" t="s">
        <v>48</v>
      </c>
      <c r="R47" s="1558" t="s">
        <v>47</v>
      </c>
      <c r="S47" s="1558" t="s">
        <v>709</v>
      </c>
    </row>
    <row r="48" spans="1:19" ht="15" x14ac:dyDescent="0.25">
      <c r="A48" s="1545" t="s">
        <v>547</v>
      </c>
      <c r="B48" s="1544">
        <f t="shared" ref="B48:D53" si="18">J37</f>
        <v>73</v>
      </c>
      <c r="C48" s="1544">
        <f t="shared" si="18"/>
        <v>24</v>
      </c>
      <c r="D48" s="1544">
        <f t="shared" si="18"/>
        <v>97</v>
      </c>
      <c r="E48" s="1559">
        <f>B48*0.05</f>
        <v>3.6500000000000004</v>
      </c>
      <c r="F48" s="1559">
        <f>C48*0.05</f>
        <v>1.2000000000000002</v>
      </c>
      <c r="G48" s="1559">
        <f>E48+F48</f>
        <v>4.8500000000000005</v>
      </c>
      <c r="H48" s="1560">
        <f>B48+E48</f>
        <v>76.650000000000006</v>
      </c>
      <c r="I48" s="1560">
        <f>C48+F48</f>
        <v>25.2</v>
      </c>
      <c r="J48" s="1560">
        <f>H48+I48</f>
        <v>101.85000000000001</v>
      </c>
      <c r="K48" s="1559">
        <f>H48*0.05</f>
        <v>3.8325000000000005</v>
      </c>
      <c r="L48" s="1559">
        <f>I48*0.05</f>
        <v>1.26</v>
      </c>
      <c r="M48" s="1559">
        <f>K48+L48</f>
        <v>5.0925000000000002</v>
      </c>
      <c r="N48" s="1560">
        <f>H48+K48</f>
        <v>80.482500000000002</v>
      </c>
      <c r="O48" s="1560">
        <f>I48+L48</f>
        <v>26.46</v>
      </c>
      <c r="P48" s="1560">
        <f>N48+O48</f>
        <v>106.9425</v>
      </c>
      <c r="Q48" s="1559">
        <f>E48+K48</f>
        <v>7.4825000000000008</v>
      </c>
      <c r="R48" s="1559">
        <f>F48+L48</f>
        <v>2.46</v>
      </c>
      <c r="S48" s="1559">
        <f>G48+M48</f>
        <v>9.9425000000000008</v>
      </c>
    </row>
    <row r="49" spans="1:19" ht="15" x14ac:dyDescent="0.25">
      <c r="A49" s="1545" t="s">
        <v>553</v>
      </c>
      <c r="B49" s="1544">
        <f t="shared" si="18"/>
        <v>1091</v>
      </c>
      <c r="C49" s="1544">
        <f t="shared" si="18"/>
        <v>1169</v>
      </c>
      <c r="D49" s="1544">
        <f t="shared" si="18"/>
        <v>2260</v>
      </c>
      <c r="E49" s="1559">
        <f>B49*0.05</f>
        <v>54.550000000000004</v>
      </c>
      <c r="F49" s="1559">
        <f t="shared" ref="F49:F53" si="19">C49*0.05</f>
        <v>58.45</v>
      </c>
      <c r="G49" s="1559">
        <f t="shared" ref="G49:G54" si="20">E49+F49</f>
        <v>113</v>
      </c>
      <c r="H49" s="1560">
        <f>B49+E49</f>
        <v>1145.55</v>
      </c>
      <c r="I49" s="1560">
        <f t="shared" ref="I49:I53" si="21">C49+F49</f>
        <v>1227.45</v>
      </c>
      <c r="J49" s="1560">
        <f t="shared" ref="J49:J54" si="22">H49+I49</f>
        <v>2373</v>
      </c>
      <c r="K49" s="1559">
        <f t="shared" ref="K49:L53" si="23">H49*0.05</f>
        <v>57.277500000000003</v>
      </c>
      <c r="L49" s="1559">
        <f t="shared" si="23"/>
        <v>61.372500000000002</v>
      </c>
      <c r="M49" s="1559">
        <f t="shared" ref="M49:M53" si="24">K49+L49</f>
        <v>118.65</v>
      </c>
      <c r="N49" s="1560">
        <f t="shared" ref="N49:O53" si="25">H49+K49</f>
        <v>1202.8274999999999</v>
      </c>
      <c r="O49" s="1560">
        <f t="shared" si="25"/>
        <v>1288.8225</v>
      </c>
      <c r="P49" s="1560">
        <f t="shared" ref="P49:P54" si="26">N49+O49</f>
        <v>2491.6499999999996</v>
      </c>
      <c r="Q49" s="1559">
        <f t="shared" ref="Q49:R53" si="27">E49+K49</f>
        <v>111.82750000000001</v>
      </c>
      <c r="R49" s="1559">
        <f>F49+L49</f>
        <v>119.82250000000001</v>
      </c>
      <c r="S49" s="1559">
        <f t="shared" ref="S49:S53" si="28">G49+M49</f>
        <v>231.65</v>
      </c>
    </row>
    <row r="50" spans="1:19" ht="15" x14ac:dyDescent="0.25">
      <c r="A50" s="1545" t="s">
        <v>552</v>
      </c>
      <c r="B50" s="1544">
        <f t="shared" si="18"/>
        <v>262</v>
      </c>
      <c r="C50" s="1544">
        <f t="shared" si="18"/>
        <v>204</v>
      </c>
      <c r="D50" s="1544">
        <f t="shared" si="18"/>
        <v>466</v>
      </c>
      <c r="E50" s="1559">
        <f>B50*0.05</f>
        <v>13.100000000000001</v>
      </c>
      <c r="F50" s="1559">
        <f t="shared" si="19"/>
        <v>10.200000000000001</v>
      </c>
      <c r="G50" s="1559">
        <f t="shared" si="20"/>
        <v>23.300000000000004</v>
      </c>
      <c r="H50" s="1560">
        <f t="shared" ref="H50:H52" si="29">B50+E50</f>
        <v>275.10000000000002</v>
      </c>
      <c r="I50" s="1560">
        <f t="shared" si="21"/>
        <v>214.2</v>
      </c>
      <c r="J50" s="1560">
        <f t="shared" si="22"/>
        <v>489.3</v>
      </c>
      <c r="K50" s="1559">
        <f t="shared" si="23"/>
        <v>13.755000000000003</v>
      </c>
      <c r="L50" s="1559">
        <f t="shared" si="23"/>
        <v>10.71</v>
      </c>
      <c r="M50" s="1559">
        <f t="shared" si="24"/>
        <v>24.465000000000003</v>
      </c>
      <c r="N50" s="1560">
        <f t="shared" si="25"/>
        <v>288.85500000000002</v>
      </c>
      <c r="O50" s="1560">
        <f t="shared" si="25"/>
        <v>224.91</v>
      </c>
      <c r="P50" s="1560">
        <f t="shared" si="26"/>
        <v>513.76499999999999</v>
      </c>
      <c r="Q50" s="1559">
        <f t="shared" si="27"/>
        <v>26.855000000000004</v>
      </c>
      <c r="R50" s="1559">
        <f t="shared" si="27"/>
        <v>20.910000000000004</v>
      </c>
      <c r="S50" s="1559">
        <f t="shared" si="28"/>
        <v>47.765000000000008</v>
      </c>
    </row>
    <row r="51" spans="1:19" ht="15" x14ac:dyDescent="0.25">
      <c r="A51" s="1545" t="s">
        <v>573</v>
      </c>
      <c r="B51" s="1544">
        <f t="shared" si="18"/>
        <v>1151</v>
      </c>
      <c r="C51" s="1544">
        <f t="shared" si="18"/>
        <v>756</v>
      </c>
      <c r="D51" s="1544">
        <f t="shared" si="18"/>
        <v>1907</v>
      </c>
      <c r="E51" s="1559">
        <f t="shared" ref="E51:E52" si="30">B51*0.05</f>
        <v>57.550000000000004</v>
      </c>
      <c r="F51" s="1559">
        <f t="shared" si="19"/>
        <v>37.800000000000004</v>
      </c>
      <c r="G51" s="1559">
        <f t="shared" si="20"/>
        <v>95.350000000000009</v>
      </c>
      <c r="H51" s="1560">
        <f t="shared" si="29"/>
        <v>1208.55</v>
      </c>
      <c r="I51" s="1560">
        <f t="shared" si="21"/>
        <v>793.8</v>
      </c>
      <c r="J51" s="1560">
        <f t="shared" si="22"/>
        <v>2002.35</v>
      </c>
      <c r="K51" s="1559">
        <f t="shared" si="23"/>
        <v>60.427500000000002</v>
      </c>
      <c r="L51" s="1559">
        <f t="shared" si="23"/>
        <v>39.69</v>
      </c>
      <c r="M51" s="1559">
        <f t="shared" si="24"/>
        <v>100.11750000000001</v>
      </c>
      <c r="N51" s="1560">
        <f t="shared" si="25"/>
        <v>1268.9775</v>
      </c>
      <c r="O51" s="1560">
        <f t="shared" si="25"/>
        <v>833.49</v>
      </c>
      <c r="P51" s="1560">
        <f t="shared" si="26"/>
        <v>2102.4674999999997</v>
      </c>
      <c r="Q51" s="1559">
        <f t="shared" si="27"/>
        <v>117.97750000000001</v>
      </c>
      <c r="R51" s="1559">
        <f t="shared" si="27"/>
        <v>77.490000000000009</v>
      </c>
      <c r="S51" s="1559">
        <f t="shared" si="28"/>
        <v>195.46750000000003</v>
      </c>
    </row>
    <row r="52" spans="1:19" ht="15" x14ac:dyDescent="0.25">
      <c r="A52" s="1545" t="s">
        <v>548</v>
      </c>
      <c r="B52" s="1544">
        <f t="shared" si="18"/>
        <v>300</v>
      </c>
      <c r="C52" s="1544">
        <f t="shared" si="18"/>
        <v>132</v>
      </c>
      <c r="D52" s="1544">
        <f t="shared" si="18"/>
        <v>432</v>
      </c>
      <c r="E52" s="1559">
        <f t="shared" si="30"/>
        <v>15</v>
      </c>
      <c r="F52" s="1559">
        <f t="shared" si="19"/>
        <v>6.6000000000000005</v>
      </c>
      <c r="G52" s="1559">
        <f t="shared" si="20"/>
        <v>21.6</v>
      </c>
      <c r="H52" s="1560">
        <f t="shared" si="29"/>
        <v>315</v>
      </c>
      <c r="I52" s="1560">
        <f t="shared" si="21"/>
        <v>138.6</v>
      </c>
      <c r="J52" s="1560">
        <f t="shared" si="22"/>
        <v>453.6</v>
      </c>
      <c r="K52" s="1559">
        <f t="shared" si="23"/>
        <v>15.75</v>
      </c>
      <c r="L52" s="1559">
        <f t="shared" si="23"/>
        <v>6.93</v>
      </c>
      <c r="M52" s="1559">
        <f t="shared" si="24"/>
        <v>22.68</v>
      </c>
      <c r="N52" s="1560">
        <f t="shared" si="25"/>
        <v>330.75</v>
      </c>
      <c r="O52" s="1560">
        <f t="shared" si="25"/>
        <v>145.53</v>
      </c>
      <c r="P52" s="1560">
        <f t="shared" si="26"/>
        <v>476.28</v>
      </c>
      <c r="Q52" s="1559">
        <f t="shared" si="27"/>
        <v>30.75</v>
      </c>
      <c r="R52" s="1559">
        <f t="shared" si="27"/>
        <v>13.530000000000001</v>
      </c>
      <c r="S52" s="1559">
        <f t="shared" si="28"/>
        <v>44.28</v>
      </c>
    </row>
    <row r="53" spans="1:19" ht="15" x14ac:dyDescent="0.25">
      <c r="A53" s="1545" t="s">
        <v>549</v>
      </c>
      <c r="B53" s="1544">
        <f t="shared" si="18"/>
        <v>389</v>
      </c>
      <c r="C53" s="1544">
        <f t="shared" si="18"/>
        <v>355</v>
      </c>
      <c r="D53" s="1544">
        <f t="shared" si="18"/>
        <v>744</v>
      </c>
      <c r="E53" s="1559">
        <f>B53*0.05</f>
        <v>19.450000000000003</v>
      </c>
      <c r="F53" s="1559">
        <f t="shared" si="19"/>
        <v>17.75</v>
      </c>
      <c r="G53" s="1559">
        <f t="shared" si="20"/>
        <v>37.200000000000003</v>
      </c>
      <c r="H53" s="1560">
        <f>B53+E53</f>
        <v>408.45</v>
      </c>
      <c r="I53" s="1560">
        <f t="shared" si="21"/>
        <v>372.75</v>
      </c>
      <c r="J53" s="1560">
        <f t="shared" si="22"/>
        <v>781.2</v>
      </c>
      <c r="K53" s="1559">
        <f t="shared" si="23"/>
        <v>20.422499999999999</v>
      </c>
      <c r="L53" s="1559">
        <f t="shared" si="23"/>
        <v>18.637499999999999</v>
      </c>
      <c r="M53" s="1559">
        <f t="shared" si="24"/>
        <v>39.06</v>
      </c>
      <c r="N53" s="1560">
        <f>H53+K53</f>
        <v>428.8725</v>
      </c>
      <c r="O53" s="1560">
        <f t="shared" si="25"/>
        <v>391.38749999999999</v>
      </c>
      <c r="P53" s="1560">
        <f t="shared" si="26"/>
        <v>820.26</v>
      </c>
      <c r="Q53" s="1559">
        <f t="shared" si="27"/>
        <v>39.872500000000002</v>
      </c>
      <c r="R53" s="1559">
        <f t="shared" si="27"/>
        <v>36.387500000000003</v>
      </c>
      <c r="S53" s="1559">
        <f t="shared" si="28"/>
        <v>76.260000000000005</v>
      </c>
    </row>
    <row r="54" spans="1:19" ht="15" x14ac:dyDescent="0.25">
      <c r="A54" s="1561" t="s">
        <v>719</v>
      </c>
      <c r="B54" s="1562">
        <f>SUM(B48:B53)</f>
        <v>3266</v>
      </c>
      <c r="C54" s="1562">
        <f t="shared" ref="C54:D54" si="31">SUM(C48:C53)</f>
        <v>2640</v>
      </c>
      <c r="D54" s="1562">
        <f t="shared" si="31"/>
        <v>5906</v>
      </c>
      <c r="E54" s="1563">
        <f>SUM(E48:E53)</f>
        <v>163.30000000000001</v>
      </c>
      <c r="F54" s="1563">
        <f>SUM(F48:F53)</f>
        <v>132</v>
      </c>
      <c r="G54" s="1564">
        <f t="shared" si="20"/>
        <v>295.3</v>
      </c>
      <c r="H54" s="1565">
        <f>SUM(H48:H53)</f>
        <v>3429.3</v>
      </c>
      <c r="I54" s="1565">
        <f>SUM(I48:I53)</f>
        <v>2772</v>
      </c>
      <c r="J54" s="1566">
        <f t="shared" si="22"/>
        <v>6201.3</v>
      </c>
      <c r="K54" s="1564">
        <f>SUM(K48:K53)</f>
        <v>171.46500000000003</v>
      </c>
      <c r="L54" s="1564">
        <f>SUM(L48:L53)</f>
        <v>138.6</v>
      </c>
      <c r="M54" s="1564">
        <f>K54+L54</f>
        <v>310.06500000000005</v>
      </c>
      <c r="N54" s="1566">
        <f>SUM(N48:N53)</f>
        <v>3600.7649999999999</v>
      </c>
      <c r="O54" s="1566">
        <f>SUM(O48:O53)</f>
        <v>2910.6</v>
      </c>
      <c r="P54" s="1566">
        <f t="shared" si="26"/>
        <v>6511.3649999999998</v>
      </c>
      <c r="Q54" s="1559">
        <f>SUM(Q48:Q53)</f>
        <v>334.76500000000004</v>
      </c>
      <c r="R54" s="1559">
        <f>SUM(R48:R53)</f>
        <v>270.60000000000002</v>
      </c>
      <c r="S54" s="1559">
        <f>SUM(S48:S53)</f>
        <v>605.36500000000001</v>
      </c>
    </row>
    <row r="56" spans="1:19" ht="18" x14ac:dyDescent="0.25">
      <c r="A56" s="1567" t="s">
        <v>1460</v>
      </c>
    </row>
    <row r="58" spans="1:19" ht="15" x14ac:dyDescent="0.25">
      <c r="A58" s="1543" t="s">
        <v>1461</v>
      </c>
    </row>
    <row r="59" spans="1:19" ht="15" x14ac:dyDescent="0.25">
      <c r="A59" s="1544"/>
      <c r="B59" s="2603" t="s">
        <v>705</v>
      </c>
      <c r="C59" s="2603"/>
      <c r="D59" s="2603" t="s">
        <v>706</v>
      </c>
      <c r="E59" s="2603"/>
      <c r="F59" s="2603" t="s">
        <v>707</v>
      </c>
      <c r="G59" s="2603"/>
      <c r="H59" s="2603" t="s">
        <v>708</v>
      </c>
      <c r="I59" s="2603"/>
      <c r="J59" s="2596" t="s">
        <v>68</v>
      </c>
      <c r="K59" s="2597"/>
      <c r="L59" s="2598"/>
    </row>
    <row r="60" spans="1:19" ht="15" x14ac:dyDescent="0.25">
      <c r="A60" s="1545" t="s">
        <v>221</v>
      </c>
      <c r="B60" s="1546" t="s">
        <v>48</v>
      </c>
      <c r="C60" s="1547" t="s">
        <v>47</v>
      </c>
      <c r="D60" s="1547" t="s">
        <v>48</v>
      </c>
      <c r="E60" s="1547" t="s">
        <v>47</v>
      </c>
      <c r="F60" s="1547" t="s">
        <v>48</v>
      </c>
      <c r="G60" s="1547" t="s">
        <v>47</v>
      </c>
      <c r="H60" s="1547" t="s">
        <v>48</v>
      </c>
      <c r="I60" s="1547" t="s">
        <v>47</v>
      </c>
      <c r="J60" s="1548" t="s">
        <v>48</v>
      </c>
      <c r="K60" s="1548" t="s">
        <v>47</v>
      </c>
      <c r="L60" s="1548" t="s">
        <v>709</v>
      </c>
      <c r="M60" s="1549" t="s">
        <v>710</v>
      </c>
    </row>
    <row r="61" spans="1:19" ht="15" x14ac:dyDescent="0.25">
      <c r="A61" s="1545" t="s">
        <v>547</v>
      </c>
      <c r="B61" s="1568">
        <v>4</v>
      </c>
      <c r="C61" s="1568">
        <v>4</v>
      </c>
      <c r="D61" s="1568">
        <v>5</v>
      </c>
      <c r="E61" s="1568">
        <v>6</v>
      </c>
      <c r="F61" s="1568">
        <v>17</v>
      </c>
      <c r="G61" s="1568">
        <v>10</v>
      </c>
      <c r="H61" s="1568">
        <v>8</v>
      </c>
      <c r="I61" s="1568">
        <v>8</v>
      </c>
      <c r="J61" s="1569">
        <f t="shared" ref="J61:K61" si="32">B61+D61+H61+F61</f>
        <v>34</v>
      </c>
      <c r="K61" s="1569">
        <f t="shared" si="32"/>
        <v>28</v>
      </c>
      <c r="L61" s="1569">
        <f t="shared" ref="L61:L66" si="33">J61+K61</f>
        <v>62</v>
      </c>
      <c r="M61" s="1570">
        <f t="shared" ref="M61:M67" si="34">K61/L61</f>
        <v>0.45161290322580644</v>
      </c>
    </row>
    <row r="62" spans="1:19" ht="15" x14ac:dyDescent="0.25">
      <c r="A62" s="1545" t="s">
        <v>548</v>
      </c>
      <c r="B62" s="1568">
        <v>97</v>
      </c>
      <c r="C62" s="1568">
        <v>87</v>
      </c>
      <c r="D62" s="1568">
        <v>119</v>
      </c>
      <c r="E62" s="1568">
        <v>81</v>
      </c>
      <c r="F62" s="1568">
        <v>160</v>
      </c>
      <c r="G62" s="1568">
        <v>114</v>
      </c>
      <c r="H62" s="1568">
        <v>72</v>
      </c>
      <c r="I62" s="1568">
        <v>39</v>
      </c>
      <c r="J62" s="1569">
        <f t="shared" ref="J62:K66" si="35">B62+D62+H62+F62</f>
        <v>448</v>
      </c>
      <c r="K62" s="1569">
        <f t="shared" si="35"/>
        <v>321</v>
      </c>
      <c r="L62" s="1569">
        <f t="shared" si="33"/>
        <v>769</v>
      </c>
      <c r="M62" s="1570">
        <f>K62/L62</f>
        <v>0.4174252275682705</v>
      </c>
    </row>
    <row r="63" spans="1:19" ht="15" x14ac:dyDescent="0.25">
      <c r="A63" s="1545" t="s">
        <v>549</v>
      </c>
      <c r="B63" s="1568">
        <v>131</v>
      </c>
      <c r="C63" s="1568">
        <v>77</v>
      </c>
      <c r="D63" s="1568">
        <v>210</v>
      </c>
      <c r="E63" s="1568">
        <v>163</v>
      </c>
      <c r="F63" s="1568">
        <v>318</v>
      </c>
      <c r="G63" s="1568">
        <v>214</v>
      </c>
      <c r="H63" s="1568">
        <v>140</v>
      </c>
      <c r="I63" s="1568">
        <v>86</v>
      </c>
      <c r="J63" s="1569">
        <f t="shared" si="35"/>
        <v>799</v>
      </c>
      <c r="K63" s="1569">
        <f t="shared" si="35"/>
        <v>540</v>
      </c>
      <c r="L63" s="1569">
        <f t="shared" si="33"/>
        <v>1339</v>
      </c>
      <c r="M63" s="1571">
        <f>K63/L63</f>
        <v>0.40328603435399552</v>
      </c>
    </row>
    <row r="64" spans="1:19" ht="15" x14ac:dyDescent="0.25">
      <c r="A64" s="1545" t="s">
        <v>573</v>
      </c>
      <c r="B64" s="1568">
        <v>87</v>
      </c>
      <c r="C64" s="1568">
        <v>54</v>
      </c>
      <c r="D64" s="1568">
        <v>470</v>
      </c>
      <c r="E64" s="1568">
        <v>418</v>
      </c>
      <c r="F64" s="1568">
        <v>146</v>
      </c>
      <c r="G64" s="1568">
        <v>113</v>
      </c>
      <c r="H64" s="1568">
        <v>59</v>
      </c>
      <c r="I64" s="1568">
        <v>55</v>
      </c>
      <c r="J64" s="1569">
        <f t="shared" si="35"/>
        <v>762</v>
      </c>
      <c r="K64" s="1569">
        <f t="shared" si="35"/>
        <v>640</v>
      </c>
      <c r="L64" s="1569">
        <f t="shared" si="33"/>
        <v>1402</v>
      </c>
      <c r="M64" s="1570">
        <f>K64/L64</f>
        <v>0.45649072753209702</v>
      </c>
    </row>
    <row r="65" spans="1:13" ht="15" x14ac:dyDescent="0.25">
      <c r="A65" s="1545" t="s">
        <v>552</v>
      </c>
      <c r="B65" s="1568">
        <v>67</v>
      </c>
      <c r="C65" s="1568">
        <v>49</v>
      </c>
      <c r="D65" s="1568">
        <v>167</v>
      </c>
      <c r="E65" s="1568">
        <v>154</v>
      </c>
      <c r="F65" s="1568">
        <v>110</v>
      </c>
      <c r="G65" s="1568">
        <v>79</v>
      </c>
      <c r="H65" s="1568">
        <v>87</v>
      </c>
      <c r="I65" s="1568">
        <v>64</v>
      </c>
      <c r="J65" s="1569">
        <f t="shared" si="35"/>
        <v>431</v>
      </c>
      <c r="K65" s="1569">
        <f t="shared" si="35"/>
        <v>346</v>
      </c>
      <c r="L65" s="1569">
        <f t="shared" si="33"/>
        <v>777</v>
      </c>
      <c r="M65" s="1571">
        <f>K65/L65</f>
        <v>0.44530244530244528</v>
      </c>
    </row>
    <row r="66" spans="1:13" ht="15" x14ac:dyDescent="0.25">
      <c r="A66" s="1545" t="s">
        <v>553</v>
      </c>
      <c r="B66" s="1568">
        <v>68</v>
      </c>
      <c r="C66" s="1568">
        <v>45</v>
      </c>
      <c r="D66" s="1568">
        <v>581</v>
      </c>
      <c r="E66" s="1568">
        <v>450</v>
      </c>
      <c r="F66" s="1568">
        <v>218</v>
      </c>
      <c r="G66" s="1568">
        <v>159</v>
      </c>
      <c r="H66" s="1568">
        <v>256</v>
      </c>
      <c r="I66" s="1568">
        <v>209</v>
      </c>
      <c r="J66" s="1569">
        <f t="shared" si="35"/>
        <v>1123</v>
      </c>
      <c r="K66" s="1569">
        <f t="shared" si="35"/>
        <v>863</v>
      </c>
      <c r="L66" s="1569">
        <f t="shared" si="33"/>
        <v>1986</v>
      </c>
      <c r="M66" s="1571">
        <f>K66/L66</f>
        <v>0.43454179254783487</v>
      </c>
    </row>
    <row r="67" spans="1:13" ht="15" x14ac:dyDescent="0.25">
      <c r="A67" s="1545" t="s">
        <v>711</v>
      </c>
      <c r="B67" s="1568">
        <f>SUM(B61:B66)</f>
        <v>454</v>
      </c>
      <c r="C67" s="1568">
        <f t="shared" ref="C67:I67" si="36">SUM(C61:C66)</f>
        <v>316</v>
      </c>
      <c r="D67" s="1568">
        <f t="shared" si="36"/>
        <v>1552</v>
      </c>
      <c r="E67" s="1568">
        <f t="shared" si="36"/>
        <v>1272</v>
      </c>
      <c r="F67" s="1568">
        <f t="shared" si="36"/>
        <v>969</v>
      </c>
      <c r="G67" s="1568">
        <f t="shared" si="36"/>
        <v>689</v>
      </c>
      <c r="H67" s="1568">
        <f t="shared" si="36"/>
        <v>622</v>
      </c>
      <c r="I67" s="1568">
        <f t="shared" si="36"/>
        <v>461</v>
      </c>
      <c r="J67" s="1569">
        <f>SUM(J61:J66)</f>
        <v>3597</v>
      </c>
      <c r="K67" s="1569">
        <f>SUM(K61:K66)</f>
        <v>2738</v>
      </c>
      <c r="L67" s="1569">
        <f>SUM(L61:L66)</f>
        <v>6335</v>
      </c>
      <c r="M67" s="1571">
        <f t="shared" si="34"/>
        <v>0.43220205209155488</v>
      </c>
    </row>
    <row r="68" spans="1:13" x14ac:dyDescent="0.2">
      <c r="B68" s="1572"/>
      <c r="C68" s="1572"/>
      <c r="D68" s="1572"/>
      <c r="E68" s="1572"/>
      <c r="F68" s="1572"/>
      <c r="G68" s="1572"/>
      <c r="H68" s="1572"/>
      <c r="I68" s="1572"/>
      <c r="J68" s="1572"/>
      <c r="K68" s="1572"/>
      <c r="L68" s="1572"/>
    </row>
    <row r="69" spans="1:13" x14ac:dyDescent="0.2">
      <c r="B69" s="1572"/>
      <c r="C69" s="1572"/>
      <c r="D69" s="1572"/>
      <c r="E69" s="1572"/>
      <c r="F69" s="1572"/>
      <c r="G69" s="1572"/>
      <c r="H69" s="1572"/>
      <c r="I69" s="1572"/>
      <c r="J69" s="1572"/>
      <c r="K69" s="1572"/>
      <c r="L69" s="1572"/>
    </row>
    <row r="70" spans="1:13" ht="15" x14ac:dyDescent="0.25">
      <c r="A70" s="1543" t="s">
        <v>1462</v>
      </c>
      <c r="B70" s="1572"/>
      <c r="C70" s="1572"/>
      <c r="D70" s="1572"/>
      <c r="E70" s="1572"/>
      <c r="F70" s="1572"/>
      <c r="G70" s="1572"/>
      <c r="H70" s="1572"/>
      <c r="I70" s="1572"/>
      <c r="J70" s="1572"/>
      <c r="K70" s="1572"/>
      <c r="L70" s="1572"/>
    </row>
    <row r="71" spans="1:13" ht="15" x14ac:dyDescent="0.25">
      <c r="A71" s="1544"/>
      <c r="B71" s="2599" t="s">
        <v>705</v>
      </c>
      <c r="C71" s="2599"/>
      <c r="D71" s="2599" t="s">
        <v>706</v>
      </c>
      <c r="E71" s="2599"/>
      <c r="F71" s="2599" t="s">
        <v>707</v>
      </c>
      <c r="G71" s="2599"/>
      <c r="H71" s="2599" t="s">
        <v>708</v>
      </c>
      <c r="I71" s="2599"/>
      <c r="J71" s="2600" t="s">
        <v>68</v>
      </c>
      <c r="K71" s="2601"/>
      <c r="L71" s="2602"/>
    </row>
    <row r="72" spans="1:13" ht="15" x14ac:dyDescent="0.25">
      <c r="A72" s="1545" t="s">
        <v>221</v>
      </c>
      <c r="B72" s="1573" t="s">
        <v>48</v>
      </c>
      <c r="C72" s="1574" t="s">
        <v>47</v>
      </c>
      <c r="D72" s="1574" t="s">
        <v>48</v>
      </c>
      <c r="E72" s="1574" t="s">
        <v>47</v>
      </c>
      <c r="F72" s="1574" t="s">
        <v>48</v>
      </c>
      <c r="G72" s="1574" t="s">
        <v>47</v>
      </c>
      <c r="H72" s="1574" t="s">
        <v>48</v>
      </c>
      <c r="I72" s="1574" t="s">
        <v>47</v>
      </c>
      <c r="J72" s="1575" t="s">
        <v>48</v>
      </c>
      <c r="K72" s="1575" t="s">
        <v>47</v>
      </c>
      <c r="L72" s="1575" t="s">
        <v>709</v>
      </c>
      <c r="M72" s="1549" t="s">
        <v>710</v>
      </c>
    </row>
    <row r="73" spans="1:13" ht="15" x14ac:dyDescent="0.25">
      <c r="A73" s="1545" t="s">
        <v>547</v>
      </c>
      <c r="B73" s="1568">
        <v>74</v>
      </c>
      <c r="C73" s="1568">
        <v>67</v>
      </c>
      <c r="D73" s="1568">
        <v>246</v>
      </c>
      <c r="E73" s="1568">
        <v>228</v>
      </c>
      <c r="F73" s="1568">
        <v>148</v>
      </c>
      <c r="G73" s="1568">
        <v>139</v>
      </c>
      <c r="H73" s="1568">
        <v>136</v>
      </c>
      <c r="I73" s="1568">
        <v>117</v>
      </c>
      <c r="J73" s="1569">
        <f t="shared" ref="J73:K76" si="37">B73+D73+F73+H73</f>
        <v>604</v>
      </c>
      <c r="K73" s="1569">
        <f t="shared" si="37"/>
        <v>551</v>
      </c>
      <c r="L73" s="1569">
        <f t="shared" ref="L73:L78" si="38">J73+K73</f>
        <v>1155</v>
      </c>
      <c r="M73" s="1570">
        <f t="shared" ref="M73:M79" si="39">K73/L73</f>
        <v>0.47705627705627707</v>
      </c>
    </row>
    <row r="74" spans="1:13" ht="15" x14ac:dyDescent="0.25">
      <c r="A74" s="1545" t="s">
        <v>548</v>
      </c>
      <c r="B74" s="1568">
        <v>193</v>
      </c>
      <c r="C74" s="1568">
        <v>137</v>
      </c>
      <c r="D74" s="1568">
        <v>754</v>
      </c>
      <c r="E74" s="1568">
        <v>557</v>
      </c>
      <c r="F74" s="1568">
        <v>495</v>
      </c>
      <c r="G74" s="1568">
        <v>262</v>
      </c>
      <c r="H74" s="1568">
        <v>191</v>
      </c>
      <c r="I74" s="1568">
        <v>109</v>
      </c>
      <c r="J74" s="1569">
        <f t="shared" si="37"/>
        <v>1633</v>
      </c>
      <c r="K74" s="1569">
        <f t="shared" si="37"/>
        <v>1065</v>
      </c>
      <c r="L74" s="1569">
        <f t="shared" si="38"/>
        <v>2698</v>
      </c>
      <c r="M74" s="1570">
        <f>K74/L74</f>
        <v>0.39473684210526316</v>
      </c>
    </row>
    <row r="75" spans="1:13" ht="15" x14ac:dyDescent="0.25">
      <c r="A75" s="1545" t="s">
        <v>549</v>
      </c>
      <c r="B75" s="1568">
        <v>556</v>
      </c>
      <c r="C75" s="1568">
        <v>367</v>
      </c>
      <c r="D75" s="1568">
        <v>816</v>
      </c>
      <c r="E75" s="1568">
        <v>606</v>
      </c>
      <c r="F75" s="1568">
        <v>1423</v>
      </c>
      <c r="G75" s="1568">
        <v>906</v>
      </c>
      <c r="H75" s="1568">
        <v>565</v>
      </c>
      <c r="I75" s="1568">
        <v>367</v>
      </c>
      <c r="J75" s="1569">
        <f t="shared" si="37"/>
        <v>3360</v>
      </c>
      <c r="K75" s="1569">
        <f t="shared" si="37"/>
        <v>2246</v>
      </c>
      <c r="L75" s="1569">
        <f t="shared" si="38"/>
        <v>5606</v>
      </c>
      <c r="M75" s="1571">
        <f>K75/L75</f>
        <v>0.40064216910453088</v>
      </c>
    </row>
    <row r="76" spans="1:13" ht="15" x14ac:dyDescent="0.25">
      <c r="A76" s="1545" t="s">
        <v>573</v>
      </c>
      <c r="B76" s="1568">
        <v>1497</v>
      </c>
      <c r="C76" s="1568">
        <v>1277</v>
      </c>
      <c r="D76" s="1568">
        <v>2546</v>
      </c>
      <c r="E76" s="1568">
        <v>1889</v>
      </c>
      <c r="F76" s="1568">
        <v>3319</v>
      </c>
      <c r="G76" s="1568">
        <v>2443</v>
      </c>
      <c r="H76" s="1568">
        <v>1524</v>
      </c>
      <c r="I76" s="1568">
        <v>1019</v>
      </c>
      <c r="J76" s="1569">
        <f t="shared" si="37"/>
        <v>8886</v>
      </c>
      <c r="K76" s="1569">
        <f t="shared" si="37"/>
        <v>6628</v>
      </c>
      <c r="L76" s="1569">
        <f t="shared" si="38"/>
        <v>15514</v>
      </c>
      <c r="M76" s="1570">
        <f>K76/L76</f>
        <v>0.42722702075544672</v>
      </c>
    </row>
    <row r="77" spans="1:13" ht="15" x14ac:dyDescent="0.25">
      <c r="A77" s="1545" t="s">
        <v>552</v>
      </c>
      <c r="B77" s="1568">
        <v>67</v>
      </c>
      <c r="C77" s="1568">
        <v>49</v>
      </c>
      <c r="D77" s="1568">
        <v>167</v>
      </c>
      <c r="E77" s="1568">
        <v>154</v>
      </c>
      <c r="F77" s="1568">
        <v>110</v>
      </c>
      <c r="G77" s="1568">
        <v>79</v>
      </c>
      <c r="H77" s="1568">
        <v>87</v>
      </c>
      <c r="I77" s="1568">
        <v>64</v>
      </c>
      <c r="J77" s="1569">
        <f>B77+D77+H77+F77</f>
        <v>431</v>
      </c>
      <c r="K77" s="1569">
        <f>C77+E77+I77+G77</f>
        <v>346</v>
      </c>
      <c r="L77" s="1569">
        <f t="shared" si="38"/>
        <v>777</v>
      </c>
      <c r="M77" s="1571">
        <f>K77/L77</f>
        <v>0.44530244530244528</v>
      </c>
    </row>
    <row r="78" spans="1:13" ht="15" x14ac:dyDescent="0.25">
      <c r="A78" s="1545" t="s">
        <v>553</v>
      </c>
      <c r="B78" s="1568">
        <v>68</v>
      </c>
      <c r="C78" s="1568">
        <v>45</v>
      </c>
      <c r="D78" s="1568">
        <v>581</v>
      </c>
      <c r="E78" s="1568">
        <v>450</v>
      </c>
      <c r="F78" s="1568">
        <v>218</v>
      </c>
      <c r="G78" s="1568">
        <v>159</v>
      </c>
      <c r="H78" s="1568">
        <v>256</v>
      </c>
      <c r="I78" s="1568">
        <v>209</v>
      </c>
      <c r="J78" s="1569">
        <f>B78+D78+H78+F78</f>
        <v>1123</v>
      </c>
      <c r="K78" s="1569">
        <f>C78+E78+I78+G78</f>
        <v>863</v>
      </c>
      <c r="L78" s="1569">
        <f t="shared" si="38"/>
        <v>1986</v>
      </c>
      <c r="M78" s="1571">
        <f>K78/L78</f>
        <v>0.43454179254783487</v>
      </c>
    </row>
    <row r="79" spans="1:13" ht="15" x14ac:dyDescent="0.25">
      <c r="A79" s="1545" t="s">
        <v>711</v>
      </c>
      <c r="B79" s="1568">
        <f>SUM(B73:B78)</f>
        <v>2455</v>
      </c>
      <c r="C79" s="1568">
        <f t="shared" ref="C79:L79" si="40">SUM(C73:C78)</f>
        <v>1942</v>
      </c>
      <c r="D79" s="1568">
        <f t="shared" si="40"/>
        <v>5110</v>
      </c>
      <c r="E79" s="1568">
        <f t="shared" si="40"/>
        <v>3884</v>
      </c>
      <c r="F79" s="1568">
        <f t="shared" si="40"/>
        <v>5713</v>
      </c>
      <c r="G79" s="1568">
        <f t="shared" si="40"/>
        <v>3988</v>
      </c>
      <c r="H79" s="1568">
        <f t="shared" si="40"/>
        <v>2759</v>
      </c>
      <c r="I79" s="1568">
        <f t="shared" si="40"/>
        <v>1885</v>
      </c>
      <c r="J79" s="1569">
        <f t="shared" si="40"/>
        <v>16037</v>
      </c>
      <c r="K79" s="1569">
        <f t="shared" si="40"/>
        <v>11699</v>
      </c>
      <c r="L79" s="1569">
        <f t="shared" si="40"/>
        <v>27736</v>
      </c>
      <c r="M79" s="1571">
        <f t="shared" si="39"/>
        <v>0.42179838477069515</v>
      </c>
    </row>
    <row r="83" spans="9:12" x14ac:dyDescent="0.2">
      <c r="I83" s="1576"/>
      <c r="J83" s="1577" t="s">
        <v>1463</v>
      </c>
      <c r="K83" s="1576"/>
      <c r="L83" s="1576"/>
    </row>
    <row r="84" spans="9:12" ht="15" x14ac:dyDescent="0.25">
      <c r="I84" s="1578" t="s">
        <v>221</v>
      </c>
      <c r="J84" s="1576" t="s">
        <v>48</v>
      </c>
      <c r="K84" s="1576" t="s">
        <v>47</v>
      </c>
      <c r="L84" s="1576" t="s">
        <v>709</v>
      </c>
    </row>
    <row r="85" spans="9:12" ht="15" x14ac:dyDescent="0.25">
      <c r="I85" s="1578" t="s">
        <v>547</v>
      </c>
      <c r="J85" s="1559">
        <v>80.482500000000002</v>
      </c>
      <c r="K85" s="1559">
        <v>26.46</v>
      </c>
      <c r="L85" s="1559">
        <v>106.9425</v>
      </c>
    </row>
    <row r="86" spans="9:12" ht="15" x14ac:dyDescent="0.25">
      <c r="I86" s="1578" t="s">
        <v>553</v>
      </c>
      <c r="J86" s="1559">
        <v>1202.8274999999999</v>
      </c>
      <c r="K86" s="1559">
        <v>1288.8225</v>
      </c>
      <c r="L86" s="1559">
        <v>2491.6499999999996</v>
      </c>
    </row>
    <row r="87" spans="9:12" ht="15" x14ac:dyDescent="0.25">
      <c r="I87" s="1578" t="s">
        <v>552</v>
      </c>
      <c r="J87" s="1559">
        <v>288.85500000000002</v>
      </c>
      <c r="K87" s="1559">
        <v>224.91</v>
      </c>
      <c r="L87" s="1559">
        <v>513.76499999999999</v>
      </c>
    </row>
    <row r="88" spans="9:12" ht="15" x14ac:dyDescent="0.25">
      <c r="I88" s="1578" t="s">
        <v>573</v>
      </c>
      <c r="J88" s="1559">
        <v>1268.9775</v>
      </c>
      <c r="K88" s="1559">
        <v>833.49</v>
      </c>
      <c r="L88" s="1559">
        <v>2102.4674999999997</v>
      </c>
    </row>
    <row r="89" spans="9:12" ht="15" x14ac:dyDescent="0.25">
      <c r="I89" s="1578" t="s">
        <v>548</v>
      </c>
      <c r="J89" s="1559">
        <v>330.75</v>
      </c>
      <c r="K89" s="1559">
        <v>145.53</v>
      </c>
      <c r="L89" s="1559">
        <v>476.28</v>
      </c>
    </row>
    <row r="90" spans="9:12" ht="15" x14ac:dyDescent="0.25">
      <c r="I90" s="1578" t="s">
        <v>549</v>
      </c>
      <c r="J90" s="1559">
        <v>428.8725</v>
      </c>
      <c r="K90" s="1559">
        <v>391.38749999999999</v>
      </c>
      <c r="L90" s="1559">
        <v>820.26</v>
      </c>
    </row>
    <row r="91" spans="9:12" ht="15" x14ac:dyDescent="0.25">
      <c r="I91" s="1578" t="s">
        <v>711</v>
      </c>
      <c r="J91" s="1559">
        <v>3600.7649999999999</v>
      </c>
      <c r="K91" s="1559">
        <v>2910.6</v>
      </c>
      <c r="L91" s="1559">
        <v>6511.3649999999998</v>
      </c>
    </row>
  </sheetData>
  <sortState ref="A74:M78">
    <sortCondition ref="A73"/>
  </sortState>
  <mergeCells count="16">
    <mergeCell ref="J35:L35"/>
    <mergeCell ref="B71:C71"/>
    <mergeCell ref="D71:E71"/>
    <mergeCell ref="F71:G71"/>
    <mergeCell ref="H71:I71"/>
    <mergeCell ref="J71:L71"/>
    <mergeCell ref="B59:C59"/>
    <mergeCell ref="D59:E59"/>
    <mergeCell ref="F59:G59"/>
    <mergeCell ref="H59:I59"/>
    <mergeCell ref="J59:L59"/>
    <mergeCell ref="B46:D46"/>
    <mergeCell ref="B35:C35"/>
    <mergeCell ref="D35:E35"/>
    <mergeCell ref="F35:G35"/>
    <mergeCell ref="H35:I35"/>
  </mergeCells>
  <pageMargins left="0.70866141732283472" right="0.70866141732283472" top="0.74803149606299213" bottom="0.74803149606299213" header="0.31496062992125984" footer="0.31496062992125984"/>
  <pageSetup paperSize="9" scale="87"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zoomScale="125" zoomScaleNormal="125" zoomScalePageLayoutView="125" workbookViewId="0">
      <pane ySplit="1" topLeftCell="A114" activePane="bottomLeft" state="frozen"/>
      <selection pane="bottomLeft" activeCell="C122" sqref="C122"/>
    </sheetView>
  </sheetViews>
  <sheetFormatPr defaultColWidth="8.85546875" defaultRowHeight="12.75" x14ac:dyDescent="0.2"/>
  <cols>
    <col min="1" max="1" width="10.140625" bestFit="1" customWidth="1"/>
    <col min="2" max="2" width="25.28515625" bestFit="1" customWidth="1"/>
    <col min="3" max="3" width="41" customWidth="1"/>
    <col min="4" max="4" width="117" style="12" customWidth="1"/>
  </cols>
  <sheetData>
    <row r="1" spans="1:4" x14ac:dyDescent="0.2">
      <c r="A1" s="5" t="s">
        <v>212</v>
      </c>
      <c r="B1" s="5" t="s">
        <v>215</v>
      </c>
      <c r="C1" s="5" t="s">
        <v>213</v>
      </c>
      <c r="D1" s="9" t="s">
        <v>214</v>
      </c>
    </row>
    <row r="2" spans="1:4" x14ac:dyDescent="0.2">
      <c r="A2" s="15">
        <v>42129</v>
      </c>
      <c r="B2" s="10" t="s">
        <v>248</v>
      </c>
      <c r="C2" s="7" t="s">
        <v>246</v>
      </c>
      <c r="D2" s="10" t="s">
        <v>247</v>
      </c>
    </row>
    <row r="3" spans="1:4" x14ac:dyDescent="0.2">
      <c r="A3" s="16">
        <v>42156</v>
      </c>
      <c r="B3" s="326" t="s">
        <v>248</v>
      </c>
      <c r="C3" s="327" t="s">
        <v>799</v>
      </c>
      <c r="D3" s="326" t="s">
        <v>800</v>
      </c>
    </row>
    <row r="4" spans="1:4" x14ac:dyDescent="0.2">
      <c r="A4" s="15">
        <v>42129</v>
      </c>
      <c r="B4" s="10" t="s">
        <v>249</v>
      </c>
      <c r="C4" s="7" t="s">
        <v>246</v>
      </c>
      <c r="D4" s="10" t="s">
        <v>247</v>
      </c>
    </row>
    <row r="5" spans="1:4" x14ac:dyDescent="0.2">
      <c r="A5" s="16">
        <v>42156</v>
      </c>
      <c r="B5" s="326" t="s">
        <v>249</v>
      </c>
      <c r="C5" s="327" t="s">
        <v>801</v>
      </c>
      <c r="D5" s="326" t="s">
        <v>802</v>
      </c>
    </row>
    <row r="6" spans="1:4" x14ac:dyDescent="0.2">
      <c r="A6" s="16">
        <v>41730</v>
      </c>
      <c r="B6" s="7" t="s">
        <v>251</v>
      </c>
      <c r="C6" s="7" t="s">
        <v>256</v>
      </c>
      <c r="D6" s="10" t="s">
        <v>257</v>
      </c>
    </row>
    <row r="7" spans="1:4" ht="25.5" x14ac:dyDescent="0.2">
      <c r="A7" s="16">
        <v>41730</v>
      </c>
      <c r="B7" s="7" t="s">
        <v>251</v>
      </c>
      <c r="C7" s="10" t="s">
        <v>258</v>
      </c>
      <c r="D7" s="10" t="s">
        <v>518</v>
      </c>
    </row>
    <row r="8" spans="1:4" ht="25.5" x14ac:dyDescent="0.2">
      <c r="A8" s="16">
        <v>41730</v>
      </c>
      <c r="B8" s="7" t="s">
        <v>251</v>
      </c>
      <c r="C8" s="7" t="s">
        <v>254</v>
      </c>
      <c r="D8" s="10" t="s">
        <v>259</v>
      </c>
    </row>
    <row r="9" spans="1:4" ht="25.5" x14ac:dyDescent="0.2">
      <c r="A9" s="16">
        <v>42125</v>
      </c>
      <c r="B9" s="7" t="s">
        <v>251</v>
      </c>
      <c r="C9" s="7" t="s">
        <v>252</v>
      </c>
      <c r="D9" s="10" t="s">
        <v>533</v>
      </c>
    </row>
    <row r="10" spans="1:4" ht="51" x14ac:dyDescent="0.2">
      <c r="A10" s="16">
        <v>42125</v>
      </c>
      <c r="B10" s="7" t="s">
        <v>251</v>
      </c>
      <c r="C10" s="7" t="s">
        <v>253</v>
      </c>
      <c r="D10" s="10" t="s">
        <v>534</v>
      </c>
    </row>
    <row r="11" spans="1:4" ht="25.5" x14ac:dyDescent="0.2">
      <c r="A11" s="16">
        <v>42125</v>
      </c>
      <c r="B11" s="7" t="s">
        <v>251</v>
      </c>
      <c r="C11" s="10" t="s">
        <v>255</v>
      </c>
      <c r="D11" s="10" t="s">
        <v>260</v>
      </c>
    </row>
    <row r="12" spans="1:4" ht="25.5" x14ac:dyDescent="0.2">
      <c r="A12" s="16">
        <v>42125</v>
      </c>
      <c r="B12" s="7" t="s">
        <v>267</v>
      </c>
      <c r="C12" s="10" t="s">
        <v>261</v>
      </c>
      <c r="D12" s="17" t="s">
        <v>262</v>
      </c>
    </row>
    <row r="13" spans="1:4" x14ac:dyDescent="0.2">
      <c r="A13" s="27">
        <v>42125</v>
      </c>
      <c r="B13" s="7" t="s">
        <v>267</v>
      </c>
      <c r="C13" s="7" t="s">
        <v>263</v>
      </c>
      <c r="D13" s="10" t="s">
        <v>277</v>
      </c>
    </row>
    <row r="14" spans="1:4" x14ac:dyDescent="0.2">
      <c r="A14" s="27">
        <v>42125</v>
      </c>
      <c r="B14" s="7" t="s">
        <v>267</v>
      </c>
      <c r="C14" s="7" t="s">
        <v>278</v>
      </c>
      <c r="D14" s="10" t="s">
        <v>264</v>
      </c>
    </row>
    <row r="15" spans="1:4" ht="25.5" x14ac:dyDescent="0.2">
      <c r="A15" s="16">
        <v>42156</v>
      </c>
      <c r="B15" s="7" t="s">
        <v>267</v>
      </c>
      <c r="C15" s="7" t="s">
        <v>265</v>
      </c>
      <c r="D15" s="10" t="s">
        <v>266</v>
      </c>
    </row>
    <row r="16" spans="1:4" x14ac:dyDescent="0.2">
      <c r="A16" s="16">
        <v>42125</v>
      </c>
      <c r="B16" s="7" t="s">
        <v>268</v>
      </c>
      <c r="C16" s="7" t="s">
        <v>279</v>
      </c>
      <c r="D16" s="10" t="s">
        <v>269</v>
      </c>
    </row>
    <row r="17" spans="1:4" ht="38.25" x14ac:dyDescent="0.2">
      <c r="A17" s="16">
        <v>42125</v>
      </c>
      <c r="B17" s="7" t="s">
        <v>268</v>
      </c>
      <c r="C17" s="7" t="s">
        <v>270</v>
      </c>
      <c r="D17" s="326" t="s">
        <v>804</v>
      </c>
    </row>
    <row r="18" spans="1:4" ht="25.5" x14ac:dyDescent="0.2">
      <c r="A18" s="16">
        <v>42156</v>
      </c>
      <c r="B18" s="327" t="s">
        <v>268</v>
      </c>
      <c r="C18" s="327" t="s">
        <v>811</v>
      </c>
      <c r="D18" s="326" t="s">
        <v>812</v>
      </c>
    </row>
    <row r="19" spans="1:4" x14ac:dyDescent="0.2">
      <c r="A19" s="16">
        <v>42156</v>
      </c>
      <c r="B19" s="7" t="s">
        <v>268</v>
      </c>
      <c r="C19" s="7" t="s">
        <v>271</v>
      </c>
      <c r="D19" s="10" t="s">
        <v>272</v>
      </c>
    </row>
    <row r="20" spans="1:4" x14ac:dyDescent="0.2">
      <c r="A20" s="16">
        <v>41730</v>
      </c>
      <c r="B20" s="7" t="s">
        <v>276</v>
      </c>
      <c r="C20" s="7" t="s">
        <v>280</v>
      </c>
      <c r="D20" s="10" t="s">
        <v>326</v>
      </c>
    </row>
    <row r="21" spans="1:4" x14ac:dyDescent="0.2">
      <c r="A21" s="16">
        <v>42156</v>
      </c>
      <c r="B21" s="327" t="s">
        <v>805</v>
      </c>
      <c r="C21" s="327" t="s">
        <v>806</v>
      </c>
      <c r="D21" s="326" t="s">
        <v>807</v>
      </c>
    </row>
    <row r="22" spans="1:4" x14ac:dyDescent="0.2">
      <c r="A22" s="16">
        <v>41730</v>
      </c>
      <c r="B22" s="7" t="s">
        <v>424</v>
      </c>
      <c r="C22" s="7" t="s">
        <v>425</v>
      </c>
      <c r="D22" s="17" t="s">
        <v>426</v>
      </c>
    </row>
    <row r="23" spans="1:4" ht="25.5" x14ac:dyDescent="0.2">
      <c r="A23" s="16">
        <v>41730</v>
      </c>
      <c r="B23" s="7" t="s">
        <v>305</v>
      </c>
      <c r="C23" s="10" t="s">
        <v>289</v>
      </c>
      <c r="D23" s="10" t="s">
        <v>308</v>
      </c>
    </row>
    <row r="24" spans="1:4" ht="25.5" x14ac:dyDescent="0.2">
      <c r="A24" s="16">
        <v>42125</v>
      </c>
      <c r="B24" s="7" t="s">
        <v>305</v>
      </c>
      <c r="C24" s="10" t="s">
        <v>303</v>
      </c>
      <c r="D24" s="10" t="s">
        <v>519</v>
      </c>
    </row>
    <row r="25" spans="1:4" ht="38.25" x14ac:dyDescent="0.2">
      <c r="A25" s="16">
        <v>42156</v>
      </c>
      <c r="B25" s="7" t="s">
        <v>305</v>
      </c>
      <c r="C25" s="7" t="s">
        <v>290</v>
      </c>
      <c r="D25" s="10" t="s">
        <v>520</v>
      </c>
    </row>
    <row r="26" spans="1:4" ht="38.25" x14ac:dyDescent="0.2">
      <c r="A26" s="16">
        <v>42125</v>
      </c>
      <c r="B26" s="7" t="s">
        <v>304</v>
      </c>
      <c r="C26" s="7" t="s">
        <v>307</v>
      </c>
      <c r="D26" s="10" t="s">
        <v>521</v>
      </c>
    </row>
    <row r="27" spans="1:4" ht="38.25" x14ac:dyDescent="0.2">
      <c r="A27" s="16">
        <v>41730</v>
      </c>
      <c r="B27" s="7" t="s">
        <v>522</v>
      </c>
      <c r="C27" s="7" t="s">
        <v>523</v>
      </c>
      <c r="D27" s="30" t="s">
        <v>524</v>
      </c>
    </row>
    <row r="28" spans="1:4" ht="38.25" x14ac:dyDescent="0.2">
      <c r="A28" s="16">
        <v>41730</v>
      </c>
      <c r="B28" s="10" t="s">
        <v>525</v>
      </c>
      <c r="C28" s="10" t="s">
        <v>427</v>
      </c>
      <c r="D28" s="17" t="s">
        <v>427</v>
      </c>
    </row>
    <row r="29" spans="1:4" ht="25.5" x14ac:dyDescent="0.2">
      <c r="A29" s="16">
        <v>42125</v>
      </c>
      <c r="B29" s="7" t="s">
        <v>310</v>
      </c>
      <c r="C29" s="10" t="s">
        <v>316</v>
      </c>
      <c r="D29" s="17" t="s">
        <v>312</v>
      </c>
    </row>
    <row r="30" spans="1:4" ht="25.5" x14ac:dyDescent="0.2">
      <c r="A30" s="16">
        <v>41730</v>
      </c>
      <c r="B30" s="7" t="s">
        <v>310</v>
      </c>
      <c r="C30" s="10" t="s">
        <v>330</v>
      </c>
      <c r="D30" s="17" t="s">
        <v>331</v>
      </c>
    </row>
    <row r="31" spans="1:4" ht="25.5" x14ac:dyDescent="0.2">
      <c r="A31" s="16">
        <v>42125</v>
      </c>
      <c r="B31" s="7" t="s">
        <v>310</v>
      </c>
      <c r="C31" s="10" t="s">
        <v>526</v>
      </c>
      <c r="D31" s="17" t="s">
        <v>527</v>
      </c>
    </row>
    <row r="32" spans="1:4" ht="38.25" x14ac:dyDescent="0.2">
      <c r="A32" s="16">
        <v>42156</v>
      </c>
      <c r="B32" s="7" t="s">
        <v>310</v>
      </c>
      <c r="C32" s="10" t="s">
        <v>332</v>
      </c>
      <c r="D32" s="17" t="s">
        <v>311</v>
      </c>
    </row>
    <row r="33" spans="1:4" ht="25.5" x14ac:dyDescent="0.2">
      <c r="A33" s="16">
        <v>42125</v>
      </c>
      <c r="B33" s="7" t="s">
        <v>310</v>
      </c>
      <c r="C33" s="10" t="s">
        <v>317</v>
      </c>
      <c r="D33" s="17" t="s">
        <v>318</v>
      </c>
    </row>
    <row r="34" spans="1:4" ht="38.25" x14ac:dyDescent="0.2">
      <c r="A34" s="16">
        <v>42125</v>
      </c>
      <c r="B34" s="7" t="s">
        <v>310</v>
      </c>
      <c r="C34" s="10" t="s">
        <v>329</v>
      </c>
      <c r="D34" s="17" t="s">
        <v>313</v>
      </c>
    </row>
    <row r="35" spans="1:4" ht="38.25" x14ac:dyDescent="0.2">
      <c r="A35" s="16">
        <v>41730</v>
      </c>
      <c r="B35" s="7" t="s">
        <v>319</v>
      </c>
      <c r="C35" s="10" t="s">
        <v>434</v>
      </c>
      <c r="D35" s="17" t="s">
        <v>435</v>
      </c>
    </row>
    <row r="36" spans="1:4" ht="25.5" x14ac:dyDescent="0.2">
      <c r="A36" s="16">
        <v>41760</v>
      </c>
      <c r="B36" s="7" t="s">
        <v>319</v>
      </c>
      <c r="C36" s="10" t="s">
        <v>436</v>
      </c>
      <c r="D36" s="17" t="s">
        <v>437</v>
      </c>
    </row>
    <row r="37" spans="1:4" x14ac:dyDescent="0.2">
      <c r="A37" s="16">
        <v>42156</v>
      </c>
      <c r="B37" s="7" t="s">
        <v>319</v>
      </c>
      <c r="C37" s="10" t="s">
        <v>271</v>
      </c>
      <c r="D37" s="17" t="s">
        <v>320</v>
      </c>
    </row>
    <row r="38" spans="1:4" ht="25.5" x14ac:dyDescent="0.2">
      <c r="A38" s="16">
        <v>41730</v>
      </c>
      <c r="B38" s="7" t="s">
        <v>321</v>
      </c>
      <c r="C38" s="10" t="s">
        <v>428</v>
      </c>
      <c r="D38" s="17" t="s">
        <v>429</v>
      </c>
    </row>
    <row r="39" spans="1:4" x14ac:dyDescent="0.2">
      <c r="A39" s="16">
        <v>41730</v>
      </c>
      <c r="B39" s="7" t="s">
        <v>321</v>
      </c>
      <c r="C39" s="10" t="s">
        <v>322</v>
      </c>
      <c r="D39" s="17" t="s">
        <v>528</v>
      </c>
    </row>
    <row r="40" spans="1:4" ht="25.5" x14ac:dyDescent="0.2">
      <c r="A40" s="16">
        <v>42156</v>
      </c>
      <c r="B40" s="7" t="s">
        <v>321</v>
      </c>
      <c r="C40" s="10" t="s">
        <v>325</v>
      </c>
      <c r="D40" s="17" t="s">
        <v>324</v>
      </c>
    </row>
    <row r="41" spans="1:4" x14ac:dyDescent="0.2">
      <c r="A41" s="16">
        <v>42156</v>
      </c>
      <c r="B41" s="7" t="s">
        <v>335</v>
      </c>
      <c r="C41" s="10" t="s">
        <v>333</v>
      </c>
      <c r="D41" s="17" t="s">
        <v>334</v>
      </c>
    </row>
    <row r="42" spans="1:4" x14ac:dyDescent="0.2">
      <c r="A42" s="16">
        <v>42156</v>
      </c>
      <c r="B42" s="327" t="s">
        <v>335</v>
      </c>
      <c r="C42" s="326" t="s">
        <v>808</v>
      </c>
      <c r="D42" s="17" t="s">
        <v>809</v>
      </c>
    </row>
    <row r="43" spans="1:4" x14ac:dyDescent="0.2">
      <c r="A43" s="16">
        <v>42156</v>
      </c>
      <c r="B43" s="7" t="s">
        <v>336</v>
      </c>
      <c r="C43" s="10" t="s">
        <v>323</v>
      </c>
      <c r="D43" s="17" t="s">
        <v>323</v>
      </c>
    </row>
    <row r="44" spans="1:4" ht="38.25" x14ac:dyDescent="0.2">
      <c r="A44" s="16">
        <v>42125</v>
      </c>
      <c r="B44" s="7" t="s">
        <v>395</v>
      </c>
      <c r="C44" s="10" t="s">
        <v>397</v>
      </c>
      <c r="D44" s="17" t="s">
        <v>396</v>
      </c>
    </row>
    <row r="45" spans="1:4" x14ac:dyDescent="0.2">
      <c r="A45" s="16">
        <v>42156</v>
      </c>
      <c r="B45" s="7" t="s">
        <v>337</v>
      </c>
      <c r="C45" s="10" t="s">
        <v>338</v>
      </c>
      <c r="D45" s="17" t="s">
        <v>529</v>
      </c>
    </row>
    <row r="46" spans="1:4" x14ac:dyDescent="0.2">
      <c r="A46" s="16">
        <v>42156</v>
      </c>
      <c r="B46" s="7" t="s">
        <v>337</v>
      </c>
      <c r="C46" s="10" t="s">
        <v>323</v>
      </c>
      <c r="D46" s="17" t="s">
        <v>323</v>
      </c>
    </row>
    <row r="47" spans="1:4" ht="25.5" x14ac:dyDescent="0.2">
      <c r="A47" s="16">
        <v>41730</v>
      </c>
      <c r="B47" s="7" t="s">
        <v>386</v>
      </c>
      <c r="C47" s="10" t="s">
        <v>387</v>
      </c>
      <c r="D47" s="17" t="s">
        <v>388</v>
      </c>
    </row>
    <row r="48" spans="1:4" ht="38.25" x14ac:dyDescent="0.2">
      <c r="A48" s="16">
        <v>41730</v>
      </c>
      <c r="B48" s="10" t="s">
        <v>389</v>
      </c>
      <c r="C48" s="10" t="s">
        <v>390</v>
      </c>
      <c r="D48" s="328" t="s">
        <v>810</v>
      </c>
    </row>
    <row r="49" spans="1:4" ht="38.25" x14ac:dyDescent="0.2">
      <c r="A49" s="16">
        <v>42125</v>
      </c>
      <c r="B49" s="10" t="s">
        <v>386</v>
      </c>
      <c r="C49" s="10" t="s">
        <v>392</v>
      </c>
      <c r="D49" s="17" t="s">
        <v>391</v>
      </c>
    </row>
    <row r="50" spans="1:4" ht="25.5" x14ac:dyDescent="0.2">
      <c r="A50" s="16">
        <v>42125</v>
      </c>
      <c r="B50" s="10" t="s">
        <v>386</v>
      </c>
      <c r="C50" s="10" t="s">
        <v>393</v>
      </c>
      <c r="D50" s="17" t="s">
        <v>394</v>
      </c>
    </row>
    <row r="51" spans="1:4" ht="25.5" x14ac:dyDescent="0.2">
      <c r="A51" s="16">
        <v>42156</v>
      </c>
      <c r="B51" s="7" t="s">
        <v>341</v>
      </c>
      <c r="C51" s="10" t="s">
        <v>354</v>
      </c>
      <c r="D51" s="17" t="s">
        <v>530</v>
      </c>
    </row>
    <row r="52" spans="1:4" ht="63.75" x14ac:dyDescent="0.2">
      <c r="A52" s="16"/>
      <c r="B52" s="7"/>
      <c r="C52" s="10"/>
      <c r="D52" s="30" t="s">
        <v>532</v>
      </c>
    </row>
    <row r="53" spans="1:4" ht="25.5" x14ac:dyDescent="0.2">
      <c r="A53" s="16">
        <v>41730</v>
      </c>
      <c r="B53" s="7" t="s">
        <v>341</v>
      </c>
      <c r="C53" s="10" t="s">
        <v>355</v>
      </c>
      <c r="D53" s="17" t="s">
        <v>342</v>
      </c>
    </row>
    <row r="54" spans="1:4" ht="25.5" x14ac:dyDescent="0.2">
      <c r="A54" s="16">
        <v>42125</v>
      </c>
      <c r="B54" s="7" t="s">
        <v>341</v>
      </c>
      <c r="C54" s="10" t="s">
        <v>356</v>
      </c>
      <c r="D54" s="19" t="s">
        <v>358</v>
      </c>
    </row>
    <row r="55" spans="1:4" ht="25.5" x14ac:dyDescent="0.2">
      <c r="A55" s="16">
        <v>42156</v>
      </c>
      <c r="B55" s="7" t="s">
        <v>341</v>
      </c>
      <c r="C55" s="10" t="s">
        <v>323</v>
      </c>
      <c r="D55" s="17" t="s">
        <v>398</v>
      </c>
    </row>
    <row r="56" spans="1:4" x14ac:dyDescent="0.2">
      <c r="A56" s="16">
        <v>41456</v>
      </c>
      <c r="B56" s="7" t="s">
        <v>360</v>
      </c>
      <c r="C56" s="10" t="s">
        <v>361</v>
      </c>
      <c r="D56" s="17" t="s">
        <v>363</v>
      </c>
    </row>
    <row r="57" spans="1:4" x14ac:dyDescent="0.2">
      <c r="A57" s="16">
        <v>42095</v>
      </c>
      <c r="B57" s="7" t="s">
        <v>360</v>
      </c>
      <c r="C57" s="10" t="s">
        <v>362</v>
      </c>
      <c r="D57" s="17" t="s">
        <v>365</v>
      </c>
    </row>
    <row r="58" spans="1:4" ht="25.5" x14ac:dyDescent="0.2">
      <c r="A58" s="16">
        <v>41456</v>
      </c>
      <c r="B58" s="7" t="s">
        <v>370</v>
      </c>
      <c r="C58" s="10" t="s">
        <v>361</v>
      </c>
      <c r="D58" s="17" t="s">
        <v>373</v>
      </c>
    </row>
    <row r="59" spans="1:4" ht="63.75" x14ac:dyDescent="0.2">
      <c r="A59" s="16">
        <v>42095</v>
      </c>
      <c r="B59" s="7" t="s">
        <v>370</v>
      </c>
      <c r="C59" s="10" t="s">
        <v>362</v>
      </c>
      <c r="D59" s="17" t="s">
        <v>382</v>
      </c>
    </row>
    <row r="60" spans="1:4" ht="25.5" x14ac:dyDescent="0.2">
      <c r="A60" s="16">
        <v>41730</v>
      </c>
      <c r="B60" s="7" t="s">
        <v>374</v>
      </c>
      <c r="C60" s="10" t="s">
        <v>375</v>
      </c>
      <c r="D60" s="17" t="s">
        <v>376</v>
      </c>
    </row>
    <row r="61" spans="1:4" x14ac:dyDescent="0.2">
      <c r="A61" s="16">
        <v>42125</v>
      </c>
      <c r="B61" s="7" t="s">
        <v>374</v>
      </c>
      <c r="C61" s="10" t="s">
        <v>377</v>
      </c>
      <c r="D61" s="17" t="s">
        <v>378</v>
      </c>
    </row>
    <row r="62" spans="1:4" ht="51" x14ac:dyDescent="0.2">
      <c r="A62" s="16">
        <v>41730</v>
      </c>
      <c r="B62" s="7" t="s">
        <v>380</v>
      </c>
      <c r="C62" s="10" t="s">
        <v>453</v>
      </c>
      <c r="D62" s="17" t="s">
        <v>454</v>
      </c>
    </row>
    <row r="63" spans="1:4" ht="25.5" x14ac:dyDescent="0.2">
      <c r="A63" s="16">
        <v>41730</v>
      </c>
      <c r="B63" s="10" t="s">
        <v>383</v>
      </c>
      <c r="C63" s="10" t="s">
        <v>367</v>
      </c>
      <c r="D63" s="17" t="s">
        <v>371</v>
      </c>
    </row>
    <row r="64" spans="1:4" ht="25.5" x14ac:dyDescent="0.2">
      <c r="A64" s="16">
        <v>41730</v>
      </c>
      <c r="B64" s="10" t="s">
        <v>374</v>
      </c>
      <c r="C64" s="10" t="s">
        <v>367</v>
      </c>
      <c r="D64" s="17" t="s">
        <v>379</v>
      </c>
    </row>
    <row r="65" spans="1:5" ht="25.5" x14ac:dyDescent="0.2">
      <c r="A65" s="16">
        <v>42125</v>
      </c>
      <c r="B65" s="10" t="s">
        <v>384</v>
      </c>
      <c r="C65" s="10" t="s">
        <v>366</v>
      </c>
      <c r="D65" s="17" t="s">
        <v>368</v>
      </c>
    </row>
    <row r="66" spans="1:5" ht="25.5" x14ac:dyDescent="0.2">
      <c r="A66" s="16">
        <v>42125</v>
      </c>
      <c r="B66" s="10" t="s">
        <v>384</v>
      </c>
      <c r="C66" s="10" t="s">
        <v>364</v>
      </c>
      <c r="D66" s="17" t="s">
        <v>372</v>
      </c>
    </row>
    <row r="67" spans="1:5" x14ac:dyDescent="0.2">
      <c r="A67" s="16">
        <v>42156</v>
      </c>
      <c r="B67" s="10" t="s">
        <v>385</v>
      </c>
      <c r="C67" s="10" t="s">
        <v>271</v>
      </c>
      <c r="D67" s="17" t="s">
        <v>369</v>
      </c>
    </row>
    <row r="68" spans="1:5" x14ac:dyDescent="0.2">
      <c r="A68" s="6">
        <v>42158</v>
      </c>
      <c r="B68" s="7" t="s">
        <v>49</v>
      </c>
      <c r="C68" s="7" t="s">
        <v>219</v>
      </c>
      <c r="D68" s="10" t="s">
        <v>229</v>
      </c>
    </row>
    <row r="69" spans="1:5" x14ac:dyDescent="0.2">
      <c r="A69" s="6">
        <v>42158</v>
      </c>
      <c r="B69" s="7" t="s">
        <v>223</v>
      </c>
      <c r="C69" s="7" t="s">
        <v>224</v>
      </c>
      <c r="D69" s="10" t="s">
        <v>225</v>
      </c>
    </row>
    <row r="70" spans="1:5" ht="25.5" x14ac:dyDescent="0.2">
      <c r="A70" s="6">
        <v>42158</v>
      </c>
      <c r="B70" s="2">
        <v>3.1</v>
      </c>
      <c r="C70" s="7" t="s">
        <v>227</v>
      </c>
      <c r="D70" s="10" t="s">
        <v>230</v>
      </c>
    </row>
    <row r="71" spans="1:5" ht="25.5" x14ac:dyDescent="0.2">
      <c r="A71" s="6">
        <v>42158</v>
      </c>
      <c r="B71" s="2">
        <v>3.2</v>
      </c>
      <c r="C71" s="7" t="s">
        <v>227</v>
      </c>
      <c r="D71" s="10" t="s">
        <v>230</v>
      </c>
    </row>
    <row r="72" spans="1:5" ht="25.5" x14ac:dyDescent="0.2">
      <c r="A72" s="6">
        <v>42158</v>
      </c>
      <c r="B72" s="2">
        <v>3.3</v>
      </c>
      <c r="C72" s="7" t="s">
        <v>227</v>
      </c>
      <c r="D72" s="10" t="s">
        <v>230</v>
      </c>
    </row>
    <row r="73" spans="1:5" ht="25.5" x14ac:dyDescent="0.2">
      <c r="A73" s="6">
        <v>42158</v>
      </c>
      <c r="B73" s="2">
        <v>3.4</v>
      </c>
      <c r="C73" s="7" t="s">
        <v>227</v>
      </c>
      <c r="D73" s="10" t="s">
        <v>230</v>
      </c>
    </row>
    <row r="74" spans="1:5" ht="25.5" x14ac:dyDescent="0.2">
      <c r="A74" s="6">
        <v>42158</v>
      </c>
      <c r="B74" s="2">
        <v>4.0999999999999996</v>
      </c>
      <c r="C74" s="7" t="s">
        <v>227</v>
      </c>
      <c r="D74" s="10" t="s">
        <v>230</v>
      </c>
    </row>
    <row r="75" spans="1:5" ht="25.5" x14ac:dyDescent="0.2">
      <c r="A75" s="6">
        <v>42158</v>
      </c>
      <c r="B75" s="2">
        <v>4.2</v>
      </c>
      <c r="C75" s="7" t="s">
        <v>227</v>
      </c>
      <c r="D75" s="10" t="s">
        <v>230</v>
      </c>
    </row>
    <row r="76" spans="1:5" ht="25.5" x14ac:dyDescent="0.2">
      <c r="A76" s="6">
        <v>42158</v>
      </c>
      <c r="B76" s="2">
        <v>4.4000000000000004</v>
      </c>
      <c r="C76" s="7" t="s">
        <v>227</v>
      </c>
      <c r="D76" s="10" t="s">
        <v>230</v>
      </c>
    </row>
    <row r="77" spans="1:5" ht="25.5" x14ac:dyDescent="0.2">
      <c r="A77" s="6">
        <v>42158</v>
      </c>
      <c r="B77" s="7" t="s">
        <v>231</v>
      </c>
      <c r="C77" s="7" t="s">
        <v>535</v>
      </c>
      <c r="D77" s="30" t="s">
        <v>536</v>
      </c>
      <c r="E77" s="8" t="s">
        <v>503</v>
      </c>
    </row>
    <row r="78" spans="1:5" ht="25.5" x14ac:dyDescent="0.2">
      <c r="A78" s="6">
        <v>42193</v>
      </c>
      <c r="B78" s="7" t="s">
        <v>813</v>
      </c>
      <c r="C78" s="7" t="s">
        <v>814</v>
      </c>
      <c r="D78" s="30" t="s">
        <v>815</v>
      </c>
    </row>
    <row r="79" spans="1:5" ht="25.5" x14ac:dyDescent="0.2">
      <c r="A79" s="6">
        <v>42222</v>
      </c>
      <c r="B79" s="2" t="s">
        <v>248</v>
      </c>
      <c r="C79" s="2" t="s">
        <v>817</v>
      </c>
      <c r="D79" s="10" t="s">
        <v>818</v>
      </c>
    </row>
    <row r="80" spans="1:5" ht="25.5" x14ac:dyDescent="0.2">
      <c r="A80" s="6">
        <v>42223</v>
      </c>
      <c r="B80" s="2" t="s">
        <v>249</v>
      </c>
      <c r="C80" s="2" t="s">
        <v>820</v>
      </c>
      <c r="D80" s="11" t="s">
        <v>821</v>
      </c>
    </row>
    <row r="81" spans="1:4" x14ac:dyDescent="0.2">
      <c r="A81" s="6">
        <v>42223</v>
      </c>
      <c r="B81" s="2" t="s">
        <v>249</v>
      </c>
      <c r="C81" s="2" t="s">
        <v>822</v>
      </c>
      <c r="D81" s="11" t="s">
        <v>823</v>
      </c>
    </row>
    <row r="82" spans="1:4" ht="38.25" x14ac:dyDescent="0.2">
      <c r="A82" s="6">
        <v>42223</v>
      </c>
      <c r="B82" s="7" t="s">
        <v>824</v>
      </c>
      <c r="C82" s="10" t="s">
        <v>825</v>
      </c>
      <c r="D82" s="10" t="s">
        <v>826</v>
      </c>
    </row>
    <row r="83" spans="1:4" ht="25.5" x14ac:dyDescent="0.2">
      <c r="A83" s="6">
        <v>42223</v>
      </c>
      <c r="B83" s="7" t="s">
        <v>827</v>
      </c>
      <c r="C83" s="7" t="s">
        <v>828</v>
      </c>
      <c r="D83" s="10" t="s">
        <v>829</v>
      </c>
    </row>
    <row r="84" spans="1:4" x14ac:dyDescent="0.2">
      <c r="A84" s="6">
        <v>41730</v>
      </c>
      <c r="B84" s="7" t="s">
        <v>831</v>
      </c>
      <c r="C84" s="7" t="s">
        <v>832</v>
      </c>
      <c r="D84" s="10" t="s">
        <v>865</v>
      </c>
    </row>
    <row r="85" spans="1:4" x14ac:dyDescent="0.2">
      <c r="A85" s="6">
        <v>42223</v>
      </c>
      <c r="B85" s="7" t="s">
        <v>833</v>
      </c>
      <c r="C85" s="7" t="s">
        <v>834</v>
      </c>
      <c r="D85" s="10" t="s">
        <v>835</v>
      </c>
    </row>
    <row r="86" spans="1:4" x14ac:dyDescent="0.2">
      <c r="A86" s="6">
        <v>42223</v>
      </c>
      <c r="B86" s="7" t="s">
        <v>839</v>
      </c>
      <c r="C86" s="7" t="s">
        <v>840</v>
      </c>
      <c r="D86" s="10" t="s">
        <v>841</v>
      </c>
    </row>
    <row r="87" spans="1:4" x14ac:dyDescent="0.2">
      <c r="A87" s="6">
        <v>42223</v>
      </c>
      <c r="B87" s="7" t="s">
        <v>833</v>
      </c>
      <c r="C87" s="7" t="s">
        <v>842</v>
      </c>
      <c r="D87" s="10" t="s">
        <v>843</v>
      </c>
    </row>
    <row r="88" spans="1:4" x14ac:dyDescent="0.2">
      <c r="A88" s="6">
        <v>42223</v>
      </c>
      <c r="B88" s="7" t="s">
        <v>847</v>
      </c>
      <c r="C88" s="7" t="s">
        <v>848</v>
      </c>
      <c r="D88" s="10" t="s">
        <v>866</v>
      </c>
    </row>
    <row r="89" spans="1:4" x14ac:dyDescent="0.2">
      <c r="A89" s="6">
        <v>42224</v>
      </c>
      <c r="B89" s="2" t="s">
        <v>849</v>
      </c>
      <c r="C89" s="2" t="s">
        <v>851</v>
      </c>
      <c r="D89" s="11" t="s">
        <v>850</v>
      </c>
    </row>
    <row r="90" spans="1:4" x14ac:dyDescent="0.2">
      <c r="A90" s="6">
        <v>42226</v>
      </c>
      <c r="B90" s="2" t="s">
        <v>849</v>
      </c>
      <c r="C90" s="2" t="s">
        <v>853</v>
      </c>
      <c r="D90" s="11" t="s">
        <v>852</v>
      </c>
    </row>
    <row r="91" spans="1:4" x14ac:dyDescent="0.2">
      <c r="A91" s="6">
        <v>42226</v>
      </c>
      <c r="B91" s="2" t="s">
        <v>854</v>
      </c>
      <c r="C91" s="7" t="s">
        <v>834</v>
      </c>
      <c r="D91" s="11" t="s">
        <v>855</v>
      </c>
    </row>
    <row r="92" spans="1:4" x14ac:dyDescent="0.2">
      <c r="A92" s="6">
        <v>42226</v>
      </c>
      <c r="B92" s="7" t="s">
        <v>857</v>
      </c>
      <c r="C92" s="7" t="s">
        <v>858</v>
      </c>
      <c r="D92" s="10" t="s">
        <v>859</v>
      </c>
    </row>
    <row r="93" spans="1:4" x14ac:dyDescent="0.2">
      <c r="A93" s="6">
        <v>42226</v>
      </c>
      <c r="B93" s="7" t="s">
        <v>860</v>
      </c>
      <c r="C93" s="7" t="s">
        <v>862</v>
      </c>
      <c r="D93" s="10" t="s">
        <v>861</v>
      </c>
    </row>
    <row r="94" spans="1:4" x14ac:dyDescent="0.2">
      <c r="A94" s="6">
        <v>42226</v>
      </c>
      <c r="B94" s="7" t="s">
        <v>824</v>
      </c>
      <c r="C94" s="7" t="s">
        <v>872</v>
      </c>
      <c r="D94" s="10" t="s">
        <v>873</v>
      </c>
    </row>
    <row r="95" spans="1:4" x14ac:dyDescent="0.2">
      <c r="A95" s="6">
        <v>42227</v>
      </c>
      <c r="B95" s="7" t="s">
        <v>864</v>
      </c>
      <c r="C95" s="7" t="s">
        <v>858</v>
      </c>
      <c r="D95" s="10" t="s">
        <v>859</v>
      </c>
    </row>
    <row r="96" spans="1:4" x14ac:dyDescent="0.2">
      <c r="A96" s="6">
        <v>42227</v>
      </c>
      <c r="B96" s="7" t="s">
        <v>824</v>
      </c>
      <c r="C96" s="7" t="s">
        <v>867</v>
      </c>
      <c r="D96" s="10" t="s">
        <v>868</v>
      </c>
    </row>
    <row r="97" spans="1:4" x14ac:dyDescent="0.2">
      <c r="A97" s="577">
        <v>42227</v>
      </c>
      <c r="B97" s="8" t="s">
        <v>874</v>
      </c>
      <c r="C97" s="8" t="s">
        <v>867</v>
      </c>
      <c r="D97" s="10" t="s">
        <v>875</v>
      </c>
    </row>
    <row r="98" spans="1:4" x14ac:dyDescent="0.2">
      <c r="A98" s="577">
        <v>42227</v>
      </c>
      <c r="B98" s="8" t="s">
        <v>306</v>
      </c>
      <c r="C98" s="8" t="s">
        <v>880</v>
      </c>
      <c r="D98" s="10" t="s">
        <v>875</v>
      </c>
    </row>
    <row r="99" spans="1:4" ht="25.5" x14ac:dyDescent="0.2">
      <c r="A99" s="577">
        <v>42227</v>
      </c>
      <c r="B99" s="8" t="s">
        <v>884</v>
      </c>
      <c r="C99" s="614" t="s">
        <v>890</v>
      </c>
      <c r="D99" s="614" t="s">
        <v>889</v>
      </c>
    </row>
    <row r="100" spans="1:4" s="225" customFormat="1" x14ac:dyDescent="0.2">
      <c r="A100" s="602">
        <v>42227</v>
      </c>
      <c r="B100" s="603" t="s">
        <v>891</v>
      </c>
      <c r="C100" s="614" t="s">
        <v>892</v>
      </c>
      <c r="D100" s="604" t="s">
        <v>893</v>
      </c>
    </row>
    <row r="101" spans="1:4" x14ac:dyDescent="0.2">
      <c r="A101" s="577">
        <v>42228</v>
      </c>
      <c r="B101" s="8" t="s">
        <v>953</v>
      </c>
      <c r="C101" s="8" t="s">
        <v>954</v>
      </c>
      <c r="D101" s="614" t="s">
        <v>955</v>
      </c>
    </row>
    <row r="102" spans="1:4" x14ac:dyDescent="0.2">
      <c r="A102" s="577">
        <v>42228</v>
      </c>
      <c r="B102" s="8" t="s">
        <v>957</v>
      </c>
      <c r="C102" s="8" t="s">
        <v>958</v>
      </c>
      <c r="D102" s="614" t="s">
        <v>959</v>
      </c>
    </row>
    <row r="103" spans="1:4" x14ac:dyDescent="0.2">
      <c r="A103" s="577">
        <v>42228</v>
      </c>
      <c r="B103" s="8" t="s">
        <v>957</v>
      </c>
      <c r="C103" s="8" t="s">
        <v>960</v>
      </c>
      <c r="D103" s="614" t="s">
        <v>961</v>
      </c>
    </row>
    <row r="104" spans="1:4" ht="38.25" x14ac:dyDescent="0.2">
      <c r="A104" s="577">
        <v>42228</v>
      </c>
      <c r="B104" s="581" t="s">
        <v>1021</v>
      </c>
      <c r="C104" s="581" t="s">
        <v>1022</v>
      </c>
      <c r="D104" s="614" t="s">
        <v>1023</v>
      </c>
    </row>
    <row r="105" spans="1:4" x14ac:dyDescent="0.2">
      <c r="A105" s="577">
        <v>42228</v>
      </c>
      <c r="B105" s="8" t="s">
        <v>175</v>
      </c>
      <c r="C105" s="8" t="s">
        <v>976</v>
      </c>
      <c r="D105" s="614" t="s">
        <v>977</v>
      </c>
    </row>
    <row r="106" spans="1:4" x14ac:dyDescent="0.2">
      <c r="A106" s="577">
        <v>42228</v>
      </c>
      <c r="B106" s="8" t="s">
        <v>824</v>
      </c>
      <c r="C106" s="8" t="s">
        <v>978</v>
      </c>
      <c r="D106" s="614" t="s">
        <v>977</v>
      </c>
    </row>
    <row r="107" spans="1:4" x14ac:dyDescent="0.2">
      <c r="A107" s="577">
        <v>42228</v>
      </c>
      <c r="B107" s="8" t="s">
        <v>184</v>
      </c>
      <c r="C107" s="8" t="s">
        <v>976</v>
      </c>
      <c r="D107" s="614" t="s">
        <v>977</v>
      </c>
    </row>
    <row r="108" spans="1:4" x14ac:dyDescent="0.2">
      <c r="A108" s="577">
        <v>42228</v>
      </c>
      <c r="B108" s="8" t="s">
        <v>1020</v>
      </c>
      <c r="C108" s="8" t="s">
        <v>984</v>
      </c>
      <c r="D108" s="12" t="s">
        <v>985</v>
      </c>
    </row>
    <row r="109" spans="1:4" x14ac:dyDescent="0.2">
      <c r="A109" s="577">
        <v>42229</v>
      </c>
      <c r="B109" s="8" t="s">
        <v>998</v>
      </c>
      <c r="C109" s="8" t="s">
        <v>999</v>
      </c>
      <c r="D109" s="614" t="s">
        <v>1000</v>
      </c>
    </row>
    <row r="110" spans="1:4" x14ac:dyDescent="0.2">
      <c r="A110" s="577">
        <v>42229</v>
      </c>
      <c r="B110" s="8" t="s">
        <v>1001</v>
      </c>
      <c r="C110" s="8" t="s">
        <v>1002</v>
      </c>
      <c r="D110" s="614" t="s">
        <v>1003</v>
      </c>
    </row>
    <row r="111" spans="1:4" ht="25.5" x14ac:dyDescent="0.2">
      <c r="A111" s="577">
        <v>42229</v>
      </c>
      <c r="B111" s="8" t="s">
        <v>1031</v>
      </c>
      <c r="C111" s="614" t="s">
        <v>1032</v>
      </c>
      <c r="D111" s="614" t="s">
        <v>1033</v>
      </c>
    </row>
    <row r="112" spans="1:4" x14ac:dyDescent="0.2">
      <c r="A112" s="577">
        <v>42229</v>
      </c>
      <c r="B112" s="8" t="s">
        <v>1038</v>
      </c>
      <c r="C112" s="8" t="s">
        <v>1039</v>
      </c>
      <c r="D112" s="614" t="s">
        <v>1040</v>
      </c>
    </row>
    <row r="113" spans="1:4" x14ac:dyDescent="0.2">
      <c r="A113" s="577">
        <v>42234</v>
      </c>
      <c r="B113" s="8" t="s">
        <v>824</v>
      </c>
      <c r="C113" s="8" t="s">
        <v>1042</v>
      </c>
      <c r="D113" s="12" t="s">
        <v>1043</v>
      </c>
    </row>
    <row r="114" spans="1:4" x14ac:dyDescent="0.2">
      <c r="A114" s="577">
        <v>42416</v>
      </c>
      <c r="B114" s="8" t="s">
        <v>20</v>
      </c>
      <c r="C114" s="8" t="s">
        <v>1402</v>
      </c>
      <c r="D114" s="614" t="s">
        <v>1403</v>
      </c>
    </row>
    <row r="115" spans="1:4" x14ac:dyDescent="0.2">
      <c r="A115" s="577">
        <v>42416</v>
      </c>
      <c r="B115" s="587" t="s">
        <v>1404</v>
      </c>
      <c r="C115" s="587" t="s">
        <v>1402</v>
      </c>
      <c r="D115" s="614" t="s">
        <v>1403</v>
      </c>
    </row>
    <row r="116" spans="1:4" x14ac:dyDescent="0.2">
      <c r="A116" s="577">
        <v>42416</v>
      </c>
      <c r="B116" s="587" t="s">
        <v>85</v>
      </c>
      <c r="C116" s="587" t="s">
        <v>1402</v>
      </c>
      <c r="D116" s="1467" t="s">
        <v>1403</v>
      </c>
    </row>
    <row r="117" spans="1:4" x14ac:dyDescent="0.2">
      <c r="A117" s="577">
        <v>42416</v>
      </c>
      <c r="B117" s="587" t="s">
        <v>1405</v>
      </c>
      <c r="C117" s="587" t="s">
        <v>1406</v>
      </c>
      <c r="D117" s="1467" t="s">
        <v>1407</v>
      </c>
    </row>
    <row r="118" spans="1:4" x14ac:dyDescent="0.2">
      <c r="A118" s="577">
        <v>42459</v>
      </c>
      <c r="B118" s="587" t="s">
        <v>1408</v>
      </c>
      <c r="C118" s="587" t="s">
        <v>1438</v>
      </c>
      <c r="D118" s="614" t="s">
        <v>1403</v>
      </c>
    </row>
    <row r="119" spans="1:4" x14ac:dyDescent="0.2">
      <c r="A119" s="577">
        <v>42459</v>
      </c>
      <c r="B119" s="587" t="s">
        <v>1429</v>
      </c>
      <c r="C119" s="587" t="s">
        <v>1430</v>
      </c>
      <c r="D119" s="614" t="s">
        <v>1403</v>
      </c>
    </row>
    <row r="120" spans="1:4" x14ac:dyDescent="0.2">
      <c r="A120" s="577">
        <v>42495</v>
      </c>
      <c r="B120" s="587" t="s">
        <v>1433</v>
      </c>
      <c r="C120" s="587" t="s">
        <v>1431</v>
      </c>
      <c r="D120" s="614" t="s">
        <v>1439</v>
      </c>
    </row>
    <row r="121" spans="1:4" x14ac:dyDescent="0.2">
      <c r="A121" s="1769">
        <v>42644</v>
      </c>
      <c r="B121" s="587" t="s">
        <v>49</v>
      </c>
      <c r="C121" s="587" t="s">
        <v>1665</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6"/>
  <sheetViews>
    <sheetView workbookViewId="0">
      <selection activeCell="J35" sqref="J35"/>
    </sheetView>
  </sheetViews>
  <sheetFormatPr defaultColWidth="8.85546875" defaultRowHeight="12.75" x14ac:dyDescent="0.2"/>
  <sheetData>
    <row r="3" spans="1:7" x14ac:dyDescent="0.2">
      <c r="A3" s="322" t="s">
        <v>793</v>
      </c>
      <c r="B3" s="322"/>
      <c r="C3" s="322"/>
      <c r="D3" s="322"/>
    </row>
    <row r="6" spans="1:7" ht="19.5" thickBot="1" x14ac:dyDescent="0.25">
      <c r="A6" s="2471" t="s">
        <v>788</v>
      </c>
      <c r="B6" s="2471"/>
      <c r="C6" s="2471"/>
      <c r="D6" s="2471"/>
      <c r="E6" s="2471"/>
      <c r="F6" s="2471"/>
      <c r="G6" s="314"/>
    </row>
    <row r="7" spans="1:7" ht="15.75" thickBot="1" x14ac:dyDescent="0.25">
      <c r="A7" s="2472" t="s">
        <v>221</v>
      </c>
      <c r="B7" s="2474" t="s">
        <v>789</v>
      </c>
      <c r="C7" s="2475"/>
      <c r="D7" s="2476"/>
      <c r="E7" s="2474" t="s">
        <v>790</v>
      </c>
      <c r="F7" s="2475"/>
      <c r="G7" s="2476"/>
    </row>
    <row r="8" spans="1:7" ht="15.75" thickBot="1" x14ac:dyDescent="0.25">
      <c r="A8" s="2473"/>
      <c r="B8" s="315" t="s">
        <v>791</v>
      </c>
      <c r="C8" s="315" t="s">
        <v>763</v>
      </c>
      <c r="D8" s="315" t="s">
        <v>68</v>
      </c>
      <c r="E8" s="315" t="s">
        <v>791</v>
      </c>
      <c r="F8" s="315" t="s">
        <v>763</v>
      </c>
      <c r="G8" s="315" t="s">
        <v>68</v>
      </c>
    </row>
    <row r="9" spans="1:7" ht="15.75" thickBot="1" x14ac:dyDescent="0.25">
      <c r="A9" s="316" t="s">
        <v>547</v>
      </c>
      <c r="B9" s="317">
        <v>19997</v>
      </c>
      <c r="C9" s="317">
        <v>19947</v>
      </c>
      <c r="D9" s="317">
        <v>39944</v>
      </c>
      <c r="E9" s="317">
        <v>20560</v>
      </c>
      <c r="F9" s="317">
        <v>20017</v>
      </c>
      <c r="G9" s="317">
        <v>40577</v>
      </c>
    </row>
    <row r="10" spans="1:7" ht="15.75" thickBot="1" x14ac:dyDescent="0.25">
      <c r="A10" s="316" t="s">
        <v>548</v>
      </c>
      <c r="B10" s="317">
        <v>55371</v>
      </c>
      <c r="C10" s="317">
        <v>41791</v>
      </c>
      <c r="D10" s="317">
        <v>97162</v>
      </c>
      <c r="E10" s="317">
        <v>49071</v>
      </c>
      <c r="F10" s="317">
        <v>37352</v>
      </c>
      <c r="G10" s="317">
        <v>86423</v>
      </c>
    </row>
    <row r="11" spans="1:7" ht="15.75" thickBot="1" x14ac:dyDescent="0.25">
      <c r="A11" s="316" t="s">
        <v>549</v>
      </c>
      <c r="B11" s="317">
        <v>111932</v>
      </c>
      <c r="C11" s="317">
        <v>97661</v>
      </c>
      <c r="D11" s="317">
        <v>209593</v>
      </c>
      <c r="E11" s="317">
        <v>92524</v>
      </c>
      <c r="F11" s="317">
        <v>78268</v>
      </c>
      <c r="G11" s="317">
        <v>170792</v>
      </c>
    </row>
    <row r="12" spans="1:7" ht="15.75" thickBot="1" x14ac:dyDescent="0.25">
      <c r="A12" s="316" t="s">
        <v>573</v>
      </c>
      <c r="B12" s="318">
        <v>214959</v>
      </c>
      <c r="C12" s="318">
        <v>205804</v>
      </c>
      <c r="D12" s="318">
        <v>420763</v>
      </c>
      <c r="E12" s="318">
        <v>174966</v>
      </c>
      <c r="F12" s="318">
        <v>165194</v>
      </c>
      <c r="G12" s="318">
        <v>340160</v>
      </c>
    </row>
    <row r="13" spans="1:7" ht="15.75" thickBot="1" x14ac:dyDescent="0.25">
      <c r="A13" s="316" t="s">
        <v>552</v>
      </c>
      <c r="B13" s="317">
        <v>18984</v>
      </c>
      <c r="C13" s="317">
        <v>17459</v>
      </c>
      <c r="D13" s="317">
        <v>36443</v>
      </c>
      <c r="E13" s="317">
        <v>17827</v>
      </c>
      <c r="F13" s="317">
        <v>16473</v>
      </c>
      <c r="G13" s="317">
        <v>34300</v>
      </c>
    </row>
    <row r="14" spans="1:7" ht="15.75" thickBot="1" x14ac:dyDescent="0.25">
      <c r="A14" s="316" t="s">
        <v>553</v>
      </c>
      <c r="B14" s="317">
        <v>39511</v>
      </c>
      <c r="C14" s="317">
        <v>41714</v>
      </c>
      <c r="D14" s="317">
        <v>81225</v>
      </c>
      <c r="E14" s="317">
        <v>41983</v>
      </c>
      <c r="F14" s="317">
        <v>38368</v>
      </c>
      <c r="G14" s="317">
        <v>80351</v>
      </c>
    </row>
    <row r="15" spans="1:7" ht="15.75" thickBot="1" x14ac:dyDescent="0.25">
      <c r="A15" s="316" t="s">
        <v>792</v>
      </c>
      <c r="B15" s="319">
        <v>460754</v>
      </c>
      <c r="C15" s="319">
        <v>424376</v>
      </c>
      <c r="D15" s="319">
        <v>885130</v>
      </c>
      <c r="E15" s="319">
        <v>396931</v>
      </c>
      <c r="F15" s="319">
        <v>355672</v>
      </c>
      <c r="G15" s="319">
        <v>752603</v>
      </c>
    </row>
    <row r="16" spans="1:7" ht="15" x14ac:dyDescent="0.2">
      <c r="A16" s="321"/>
    </row>
    <row r="17" spans="1:8" ht="15" x14ac:dyDescent="0.2">
      <c r="A17" s="320" t="s">
        <v>794</v>
      </c>
    </row>
    <row r="18" spans="1:8" ht="15" x14ac:dyDescent="0.2">
      <c r="A18" s="321"/>
    </row>
    <row r="19" spans="1:8" ht="15" x14ac:dyDescent="0.2">
      <c r="A19" s="321"/>
    </row>
    <row r="20" spans="1:8" x14ac:dyDescent="0.2">
      <c r="B20" s="324" t="s">
        <v>726</v>
      </c>
      <c r="C20" s="324" t="s">
        <v>797</v>
      </c>
      <c r="D20" s="324" t="s">
        <v>795</v>
      </c>
      <c r="E20" s="324" t="s">
        <v>797</v>
      </c>
      <c r="F20" s="324" t="s">
        <v>796</v>
      </c>
      <c r="G20" s="324" t="s">
        <v>797</v>
      </c>
      <c r="H20" s="324" t="s">
        <v>47</v>
      </c>
    </row>
    <row r="21" spans="1:8" x14ac:dyDescent="0.2">
      <c r="B21" s="323" t="s">
        <v>735</v>
      </c>
      <c r="C21" s="161">
        <f>D21*G15</f>
        <v>20320.280999999999</v>
      </c>
      <c r="D21" s="325">
        <v>2.7E-2</v>
      </c>
      <c r="E21" s="161">
        <f>F21*E15</f>
        <v>11510.999</v>
      </c>
      <c r="F21" s="325">
        <v>2.9000000000000001E-2</v>
      </c>
      <c r="G21" s="161">
        <f>H21*F15</f>
        <v>8180.4560000000001</v>
      </c>
      <c r="H21" s="325">
        <v>2.3E-2</v>
      </c>
    </row>
    <row r="22" spans="1:8" x14ac:dyDescent="0.2">
      <c r="B22" s="323" t="s">
        <v>88</v>
      </c>
      <c r="C22" s="161">
        <f>D22*G15</f>
        <v>45156.18</v>
      </c>
      <c r="D22" s="325">
        <v>0.06</v>
      </c>
      <c r="E22" s="161">
        <f>F22*E15</f>
        <v>14686.447</v>
      </c>
      <c r="F22" s="325">
        <v>3.6999999999999998E-2</v>
      </c>
      <c r="G22" s="161">
        <f>H22*F15</f>
        <v>29520.776000000002</v>
      </c>
      <c r="H22" s="325">
        <v>8.3000000000000004E-2</v>
      </c>
    </row>
    <row r="23" spans="1:8" x14ac:dyDescent="0.2">
      <c r="B23" s="31"/>
      <c r="C23" s="161"/>
      <c r="D23" s="31"/>
      <c r="E23" s="161"/>
      <c r="F23" s="31"/>
      <c r="G23" s="161"/>
      <c r="H23" s="31"/>
    </row>
    <row r="24" spans="1:8" x14ac:dyDescent="0.2">
      <c r="B24" s="324" t="s">
        <v>725</v>
      </c>
      <c r="C24" s="161"/>
      <c r="D24" s="31"/>
      <c r="E24" s="161"/>
      <c r="F24" s="31"/>
      <c r="G24" s="161"/>
      <c r="H24" s="31"/>
    </row>
    <row r="25" spans="1:8" x14ac:dyDescent="0.2">
      <c r="B25" s="323" t="s">
        <v>735</v>
      </c>
      <c r="C25" s="161">
        <f>D25*D15</f>
        <v>37175.46</v>
      </c>
      <c r="D25" s="325">
        <v>4.2000000000000003E-2</v>
      </c>
      <c r="E25" s="161">
        <f>B15*F25</f>
        <v>6911.3099999999995</v>
      </c>
      <c r="F25" s="325">
        <v>1.4999999999999999E-2</v>
      </c>
      <c r="G25" s="161">
        <f>C15*H25</f>
        <v>30979.447999999997</v>
      </c>
      <c r="H25" s="325">
        <v>7.2999999999999995E-2</v>
      </c>
    </row>
    <row r="26" spans="1:8" x14ac:dyDescent="0.2">
      <c r="B26" s="323" t="s">
        <v>88</v>
      </c>
      <c r="C26" s="161">
        <f>D26*D15</f>
        <v>107100.73</v>
      </c>
      <c r="D26" s="325">
        <v>0.121</v>
      </c>
      <c r="E26" s="161">
        <f>B15*F26</f>
        <v>54829.725999999995</v>
      </c>
      <c r="F26" s="325">
        <v>0.11899999999999999</v>
      </c>
      <c r="G26" s="161">
        <f>C15*H26</f>
        <v>51349.495999999999</v>
      </c>
      <c r="H26" s="325">
        <v>0.121</v>
      </c>
    </row>
  </sheetData>
  <mergeCells count="4">
    <mergeCell ref="A6:F6"/>
    <mergeCell ref="A7:A8"/>
    <mergeCell ref="B7:D7"/>
    <mergeCell ref="E7:G7"/>
  </mergeCell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opLeftCell="A58" zoomScale="85" zoomScaleNormal="85" zoomScalePageLayoutView="85" workbookViewId="0">
      <selection activeCell="K7" sqref="K7"/>
    </sheetView>
  </sheetViews>
  <sheetFormatPr defaultColWidth="8.85546875" defaultRowHeight="12.75" x14ac:dyDescent="0.2"/>
  <cols>
    <col min="3" max="8" width="0" hidden="1" customWidth="1"/>
    <col min="10" max="10" width="10.7109375" customWidth="1"/>
  </cols>
  <sheetData>
    <row r="1" spans="1:19" ht="15" x14ac:dyDescent="0.25">
      <c r="A1" s="146" t="s">
        <v>728</v>
      </c>
      <c r="B1" s="146"/>
      <c r="C1" s="227"/>
      <c r="D1" s="146"/>
      <c r="E1" s="146"/>
      <c r="F1" s="146"/>
      <c r="G1" s="146"/>
      <c r="H1" s="146"/>
      <c r="I1" s="146"/>
    </row>
    <row r="2" spans="1:19" x14ac:dyDescent="0.2">
      <c r="C2" s="242" t="s">
        <v>729</v>
      </c>
    </row>
    <row r="3" spans="1:19" x14ac:dyDescent="0.2">
      <c r="C3" s="2477">
        <v>2014</v>
      </c>
      <c r="D3" s="2477"/>
      <c r="E3" s="2477"/>
      <c r="F3" s="2477"/>
      <c r="G3" s="2477"/>
      <c r="H3" s="2477"/>
      <c r="I3" s="2477"/>
      <c r="J3" s="2477"/>
      <c r="K3" s="2477"/>
      <c r="L3" s="2477"/>
      <c r="M3" s="2477"/>
      <c r="N3" s="2478"/>
    </row>
    <row r="4" spans="1:19" x14ac:dyDescent="0.2">
      <c r="C4" s="2479" t="s">
        <v>12</v>
      </c>
      <c r="D4" s="2479"/>
      <c r="E4" s="2479"/>
      <c r="F4" s="2479"/>
      <c r="G4" s="2479"/>
      <c r="H4" s="2480"/>
      <c r="I4" s="2481" t="s">
        <v>10</v>
      </c>
      <c r="J4" s="2482"/>
      <c r="K4" s="2482"/>
      <c r="L4" s="2482"/>
      <c r="M4" s="2482"/>
      <c r="N4" s="2483"/>
    </row>
    <row r="5" spans="1:19" x14ac:dyDescent="0.2">
      <c r="C5" s="2479" t="s">
        <v>49</v>
      </c>
      <c r="D5" s="2480"/>
      <c r="E5" s="2484" t="s">
        <v>48</v>
      </c>
      <c r="F5" s="2480"/>
      <c r="G5" s="2484" t="s">
        <v>47</v>
      </c>
      <c r="H5" s="2480"/>
      <c r="I5" s="2481" t="s">
        <v>49</v>
      </c>
      <c r="J5" s="2483"/>
      <c r="K5" s="2481" t="s">
        <v>48</v>
      </c>
      <c r="L5" s="2483"/>
      <c r="M5" s="2481" t="s">
        <v>47</v>
      </c>
      <c r="N5" s="2483"/>
    </row>
    <row r="6" spans="1:19" ht="76.5" x14ac:dyDescent="0.2">
      <c r="A6" s="243" t="s">
        <v>730</v>
      </c>
      <c r="B6" s="244" t="s">
        <v>731</v>
      </c>
      <c r="C6" s="245" t="s">
        <v>732</v>
      </c>
      <c r="D6" s="246" t="s">
        <v>733</v>
      </c>
      <c r="E6" s="246" t="s">
        <v>732</v>
      </c>
      <c r="F6" s="246" t="s">
        <v>733</v>
      </c>
      <c r="G6" s="246" t="s">
        <v>732</v>
      </c>
      <c r="H6" s="246" t="s">
        <v>733</v>
      </c>
      <c r="I6" s="246" t="s">
        <v>732</v>
      </c>
      <c r="J6" s="247" t="s">
        <v>733</v>
      </c>
      <c r="K6" s="247" t="s">
        <v>732</v>
      </c>
      <c r="L6" s="247" t="s">
        <v>733</v>
      </c>
      <c r="M6" s="247" t="s">
        <v>732</v>
      </c>
      <c r="N6" s="247" t="s">
        <v>733</v>
      </c>
      <c r="O6" s="248" t="s">
        <v>734</v>
      </c>
    </row>
    <row r="7" spans="1:19" x14ac:dyDescent="0.2">
      <c r="B7" s="2" t="s">
        <v>735</v>
      </c>
      <c r="C7" s="249"/>
      <c r="D7" s="250"/>
      <c r="E7" s="251"/>
      <c r="F7" s="250"/>
      <c r="G7" s="251"/>
      <c r="H7" s="250"/>
      <c r="I7" s="252">
        <f>K7+M7</f>
        <v>2570.3519999999999</v>
      </c>
      <c r="J7" s="253">
        <v>8.2000000000000003E-2</v>
      </c>
      <c r="K7" s="252">
        <f>H80*0.092</f>
        <v>1478.0719999999999</v>
      </c>
      <c r="L7" s="254">
        <v>9.1999999999999998E-2</v>
      </c>
      <c r="M7" s="252">
        <f>I80*0.07</f>
        <v>1092.2800000000002</v>
      </c>
      <c r="N7" s="254">
        <v>7.0000000000000007E-2</v>
      </c>
      <c r="O7" s="127">
        <f>M7/I7</f>
        <v>0.42495346940808115</v>
      </c>
    </row>
    <row r="8" spans="1:19" x14ac:dyDescent="0.2">
      <c r="B8" s="2" t="s">
        <v>88</v>
      </c>
      <c r="C8" s="255"/>
      <c r="D8" s="250"/>
      <c r="E8" s="251"/>
      <c r="F8" s="250"/>
      <c r="G8" s="251"/>
      <c r="H8" s="250"/>
      <c r="I8" s="252">
        <f>K8+M8</f>
        <v>1158.0340000000001</v>
      </c>
      <c r="J8" s="253">
        <v>3.5999999999999997E-2</v>
      </c>
      <c r="K8" s="252">
        <f>H80*0.041</f>
        <v>658.70600000000002</v>
      </c>
      <c r="L8" s="254">
        <v>4.1000000000000002E-2</v>
      </c>
      <c r="M8" s="252">
        <f>I80*0.032</f>
        <v>499.32800000000003</v>
      </c>
      <c r="N8" s="254">
        <v>3.2000000000000001E-2</v>
      </c>
      <c r="O8" s="127">
        <f t="shared" ref="O8:O62" si="0">M8/I8</f>
        <v>0.43118595827065526</v>
      </c>
    </row>
    <row r="9" spans="1:19" x14ac:dyDescent="0.2">
      <c r="B9" s="2"/>
      <c r="C9" s="255"/>
      <c r="D9" s="256"/>
      <c r="E9" s="251"/>
      <c r="F9" s="256"/>
      <c r="G9" s="251"/>
      <c r="H9" s="256"/>
      <c r="I9" s="257"/>
      <c r="J9" s="258"/>
      <c r="K9" s="259"/>
      <c r="L9" s="254"/>
      <c r="M9" s="259"/>
      <c r="N9" s="254"/>
      <c r="O9" s="127"/>
    </row>
    <row r="10" spans="1:19" x14ac:dyDescent="0.2">
      <c r="B10" s="260" t="s">
        <v>178</v>
      </c>
      <c r="C10" s="261"/>
      <c r="D10" s="262"/>
      <c r="E10" s="263"/>
      <c r="F10" s="262"/>
      <c r="G10" s="263"/>
      <c r="H10" s="262"/>
      <c r="I10" s="263"/>
      <c r="J10" s="262"/>
      <c r="K10" s="263"/>
      <c r="L10" s="264"/>
      <c r="M10" s="263"/>
      <c r="N10" s="264"/>
      <c r="O10" s="127"/>
      <c r="S10" t="s">
        <v>216</v>
      </c>
    </row>
    <row r="11" spans="1:19" x14ac:dyDescent="0.2">
      <c r="B11" s="2" t="s">
        <v>736</v>
      </c>
      <c r="C11" s="255"/>
      <c r="D11" s="250"/>
      <c r="E11" s="251"/>
      <c r="F11" s="250"/>
      <c r="G11" s="251"/>
      <c r="H11" s="250"/>
      <c r="I11" s="252">
        <f t="shared" ref="I11:I12" si="1">K11+M11</f>
        <v>4042.7359999999999</v>
      </c>
      <c r="J11" s="253">
        <v>0.13</v>
      </c>
      <c r="K11" s="252">
        <f>D80*0.11</f>
        <v>1709.84</v>
      </c>
      <c r="L11" s="254">
        <v>0.11</v>
      </c>
      <c r="M11" s="252">
        <f>E80*0.152</f>
        <v>2332.8959999999997</v>
      </c>
      <c r="N11" s="254">
        <v>0.152</v>
      </c>
      <c r="O11" s="127">
        <f t="shared" si="0"/>
        <v>0.57705870479793875</v>
      </c>
    </row>
    <row r="12" spans="1:19" x14ac:dyDescent="0.2">
      <c r="B12" s="2" t="s">
        <v>88</v>
      </c>
      <c r="C12" s="255"/>
      <c r="D12" s="250"/>
      <c r="E12" s="251"/>
      <c r="F12" s="250"/>
      <c r="G12" s="251"/>
      <c r="H12" s="250"/>
      <c r="I12" s="252">
        <f t="shared" si="1"/>
        <v>4508.076</v>
      </c>
      <c r="J12" s="253">
        <v>0.14599999999999999</v>
      </c>
      <c r="K12" s="252">
        <f>D80*0.135</f>
        <v>2098.44</v>
      </c>
      <c r="L12" s="254">
        <v>0.13500000000000001</v>
      </c>
      <c r="M12" s="252">
        <f>E80*0.157</f>
        <v>2409.636</v>
      </c>
      <c r="N12" s="254">
        <v>0.157</v>
      </c>
      <c r="O12" s="127">
        <f t="shared" si="0"/>
        <v>0.53451538971392676</v>
      </c>
    </row>
    <row r="13" spans="1:19" x14ac:dyDescent="0.2">
      <c r="C13" s="2477">
        <v>2014</v>
      </c>
      <c r="D13" s="2477"/>
      <c r="E13" s="2477"/>
      <c r="F13" s="2477"/>
      <c r="G13" s="2477"/>
      <c r="H13" s="2477"/>
      <c r="I13" s="2477"/>
      <c r="J13" s="2477"/>
      <c r="K13" s="2477"/>
      <c r="L13" s="2477"/>
      <c r="M13" s="2477"/>
      <c r="N13" s="2478"/>
      <c r="O13" s="127"/>
    </row>
    <row r="14" spans="1:19" x14ac:dyDescent="0.2">
      <c r="C14" s="2479" t="s">
        <v>12</v>
      </c>
      <c r="D14" s="2479"/>
      <c r="E14" s="2479"/>
      <c r="F14" s="2479"/>
      <c r="G14" s="2479"/>
      <c r="H14" s="2480"/>
      <c r="I14" s="2481" t="s">
        <v>10</v>
      </c>
      <c r="J14" s="2482"/>
      <c r="K14" s="2482"/>
      <c r="L14" s="2482"/>
      <c r="M14" s="2482"/>
      <c r="N14" s="2483"/>
      <c r="O14" s="127"/>
    </row>
    <row r="15" spans="1:19" x14ac:dyDescent="0.2">
      <c r="C15" s="2479" t="s">
        <v>49</v>
      </c>
      <c r="D15" s="2480"/>
      <c r="E15" s="2484" t="s">
        <v>48</v>
      </c>
      <c r="F15" s="2480"/>
      <c r="G15" s="2484" t="s">
        <v>47</v>
      </c>
      <c r="H15" s="2480"/>
      <c r="I15" s="2481" t="s">
        <v>49</v>
      </c>
      <c r="J15" s="2483"/>
      <c r="K15" s="2481" t="s">
        <v>48</v>
      </c>
      <c r="L15" s="2483"/>
      <c r="M15" s="2481" t="s">
        <v>47</v>
      </c>
      <c r="N15" s="2483"/>
      <c r="O15" s="127"/>
    </row>
    <row r="16" spans="1:19" x14ac:dyDescent="0.2">
      <c r="A16" s="243" t="s">
        <v>737</v>
      </c>
      <c r="B16" s="244" t="s">
        <v>731</v>
      </c>
      <c r="C16" s="245" t="s">
        <v>732</v>
      </c>
      <c r="D16" s="246" t="s">
        <v>733</v>
      </c>
      <c r="E16" s="246" t="s">
        <v>732</v>
      </c>
      <c r="F16" s="246" t="s">
        <v>733</v>
      </c>
      <c r="G16" s="246" t="s">
        <v>732</v>
      </c>
      <c r="H16" s="246" t="s">
        <v>733</v>
      </c>
      <c r="I16" s="246" t="s">
        <v>732</v>
      </c>
      <c r="J16" s="247" t="s">
        <v>733</v>
      </c>
      <c r="K16" s="247" t="s">
        <v>732</v>
      </c>
      <c r="L16" s="247" t="s">
        <v>733</v>
      </c>
      <c r="M16" s="247" t="s">
        <v>732</v>
      </c>
      <c r="N16" s="247" t="s">
        <v>733</v>
      </c>
      <c r="O16" s="127"/>
    </row>
    <row r="17" spans="1:15" x14ac:dyDescent="0.2">
      <c r="B17" s="2" t="s">
        <v>735</v>
      </c>
      <c r="C17" s="249"/>
      <c r="D17" s="250"/>
      <c r="E17" s="251"/>
      <c r="F17" s="250"/>
      <c r="G17" s="251"/>
      <c r="H17" s="250"/>
      <c r="I17" s="252">
        <f t="shared" ref="I17:I18" si="2">K17+M17</f>
        <v>53.108000000000004</v>
      </c>
      <c r="J17" s="253">
        <v>1E-3</v>
      </c>
      <c r="K17" s="252">
        <f>H81*0.001</f>
        <v>53.108000000000004</v>
      </c>
      <c r="L17" s="265">
        <v>1E-3</v>
      </c>
      <c r="M17" s="252">
        <f>I81*0</f>
        <v>0</v>
      </c>
      <c r="N17" s="253">
        <v>0</v>
      </c>
      <c r="O17" s="127">
        <f t="shared" si="0"/>
        <v>0</v>
      </c>
    </row>
    <row r="18" spans="1:15" x14ac:dyDescent="0.2">
      <c r="B18" s="2" t="s">
        <v>88</v>
      </c>
      <c r="C18" s="255"/>
      <c r="D18" s="250"/>
      <c r="E18" s="251"/>
      <c r="F18" s="250"/>
      <c r="G18" s="251"/>
      <c r="H18" s="250"/>
      <c r="I18" s="252">
        <f t="shared" si="2"/>
        <v>0</v>
      </c>
      <c r="J18" s="253">
        <v>0</v>
      </c>
      <c r="K18" s="266">
        <v>0</v>
      </c>
      <c r="L18" s="253">
        <v>0</v>
      </c>
      <c r="M18" s="266">
        <v>0</v>
      </c>
      <c r="N18" s="253">
        <v>0</v>
      </c>
      <c r="O18" s="127"/>
    </row>
    <row r="19" spans="1:15" x14ac:dyDescent="0.2">
      <c r="B19" s="2"/>
      <c r="C19" s="255"/>
      <c r="D19" s="256"/>
      <c r="E19" s="251"/>
      <c r="F19" s="256"/>
      <c r="G19" s="251"/>
      <c r="H19" s="256"/>
      <c r="I19" s="267"/>
      <c r="J19" s="258"/>
      <c r="K19" s="268"/>
      <c r="L19" s="258"/>
      <c r="M19" s="268"/>
      <c r="N19" s="258"/>
      <c r="O19" s="127"/>
    </row>
    <row r="20" spans="1:15" x14ac:dyDescent="0.2">
      <c r="B20" s="260" t="s">
        <v>178</v>
      </c>
      <c r="C20" s="261"/>
      <c r="D20" s="262"/>
      <c r="E20" s="263"/>
      <c r="F20" s="262"/>
      <c r="G20" s="263"/>
      <c r="H20" s="262"/>
      <c r="I20" s="263"/>
      <c r="J20" s="262"/>
      <c r="K20" s="263"/>
      <c r="L20" s="262"/>
      <c r="M20" s="263"/>
      <c r="N20" s="262"/>
      <c r="O20" s="127"/>
    </row>
    <row r="21" spans="1:15" x14ac:dyDescent="0.2">
      <c r="B21" s="2" t="s">
        <v>736</v>
      </c>
      <c r="C21" s="255"/>
      <c r="D21" s="250"/>
      <c r="E21" s="251"/>
      <c r="F21" s="250"/>
      <c r="G21" s="251"/>
      <c r="H21" s="250"/>
      <c r="I21" s="252">
        <f t="shared" ref="I21:I22" si="3">K21+M21</f>
        <v>0</v>
      </c>
      <c r="J21" s="253">
        <v>0</v>
      </c>
      <c r="K21" s="252">
        <v>0</v>
      </c>
      <c r="L21" s="253">
        <v>0</v>
      </c>
      <c r="M21" s="269">
        <v>0</v>
      </c>
      <c r="N21" s="253">
        <v>0</v>
      </c>
      <c r="O21" s="127"/>
    </row>
    <row r="22" spans="1:15" x14ac:dyDescent="0.2">
      <c r="B22" s="2" t="s">
        <v>88</v>
      </c>
      <c r="C22" s="255"/>
      <c r="D22" s="250"/>
      <c r="E22" s="251"/>
      <c r="F22" s="250"/>
      <c r="G22" s="251"/>
      <c r="H22" s="250"/>
      <c r="I22" s="252">
        <f t="shared" si="3"/>
        <v>1131.6249999999998</v>
      </c>
      <c r="J22" s="253">
        <v>1.2E-2</v>
      </c>
      <c r="K22" s="252">
        <f>D81*0.019</f>
        <v>1047.7169999999999</v>
      </c>
      <c r="L22" s="253">
        <v>1.9E-2</v>
      </c>
      <c r="M22" s="252">
        <f>E81*0.002</f>
        <v>83.908000000000001</v>
      </c>
      <c r="N22" s="253">
        <v>2E-3</v>
      </c>
      <c r="O22" s="127">
        <f>M22/I22</f>
        <v>7.4148238153098442E-2</v>
      </c>
    </row>
    <row r="23" spans="1:15" x14ac:dyDescent="0.2">
      <c r="C23" s="2477">
        <v>2014</v>
      </c>
      <c r="D23" s="2477"/>
      <c r="E23" s="2477"/>
      <c r="F23" s="2477"/>
      <c r="G23" s="2477"/>
      <c r="H23" s="2477"/>
      <c r="I23" s="2477"/>
      <c r="J23" s="2477"/>
      <c r="K23" s="2477"/>
      <c r="L23" s="2477"/>
      <c r="M23" s="2477"/>
      <c r="N23" s="2478"/>
      <c r="O23" s="127"/>
    </row>
    <row r="24" spans="1:15" x14ac:dyDescent="0.2">
      <c r="C24" s="2479" t="s">
        <v>12</v>
      </c>
      <c r="D24" s="2479"/>
      <c r="E24" s="2479"/>
      <c r="F24" s="2479"/>
      <c r="G24" s="2479"/>
      <c r="H24" s="2480"/>
      <c r="I24" s="2481" t="s">
        <v>10</v>
      </c>
      <c r="J24" s="2482"/>
      <c r="K24" s="2482"/>
      <c r="L24" s="2482"/>
      <c r="M24" s="2482"/>
      <c r="N24" s="2483"/>
      <c r="O24" s="127"/>
    </row>
    <row r="25" spans="1:15" x14ac:dyDescent="0.2">
      <c r="C25" s="2479" t="s">
        <v>49</v>
      </c>
      <c r="D25" s="2480"/>
      <c r="E25" s="2484" t="s">
        <v>48</v>
      </c>
      <c r="F25" s="2480"/>
      <c r="G25" s="2484" t="s">
        <v>47</v>
      </c>
      <c r="H25" s="2480"/>
      <c r="I25" s="2481" t="s">
        <v>49</v>
      </c>
      <c r="J25" s="2483"/>
      <c r="K25" s="2481" t="s">
        <v>48</v>
      </c>
      <c r="L25" s="2483"/>
      <c r="M25" s="2481" t="s">
        <v>47</v>
      </c>
      <c r="N25" s="2483"/>
      <c r="O25" s="127"/>
    </row>
    <row r="26" spans="1:15" x14ac:dyDescent="0.2">
      <c r="A26" s="243" t="s">
        <v>738</v>
      </c>
      <c r="B26" s="244" t="s">
        <v>731</v>
      </c>
      <c r="C26" s="245" t="s">
        <v>732</v>
      </c>
      <c r="D26" s="246" t="s">
        <v>733</v>
      </c>
      <c r="E26" s="246" t="s">
        <v>732</v>
      </c>
      <c r="F26" s="246" t="s">
        <v>733</v>
      </c>
      <c r="G26" s="246" t="s">
        <v>732</v>
      </c>
      <c r="H26" s="246" t="s">
        <v>733</v>
      </c>
      <c r="I26" s="246" t="s">
        <v>732</v>
      </c>
      <c r="J26" s="247" t="s">
        <v>733</v>
      </c>
      <c r="K26" s="247" t="s">
        <v>732</v>
      </c>
      <c r="L26" s="247" t="s">
        <v>733</v>
      </c>
      <c r="M26" s="247" t="s">
        <v>732</v>
      </c>
      <c r="N26" s="247" t="s">
        <v>733</v>
      </c>
      <c r="O26" s="127"/>
    </row>
    <row r="27" spans="1:15" x14ac:dyDescent="0.2">
      <c r="B27" s="2" t="s">
        <v>735</v>
      </c>
      <c r="C27" s="249"/>
      <c r="D27" s="250"/>
      <c r="E27" s="251"/>
      <c r="F27" s="250"/>
      <c r="G27" s="251"/>
      <c r="H27" s="250"/>
      <c r="I27" s="252">
        <f t="shared" ref="I27:I28" si="4">K27+M27</f>
        <v>1623.3219999999999</v>
      </c>
      <c r="J27" s="253">
        <v>8.0000000000000002E-3</v>
      </c>
      <c r="K27" s="252">
        <v>0</v>
      </c>
      <c r="L27" s="253">
        <v>0</v>
      </c>
      <c r="M27" s="252">
        <f>I82*0.019</f>
        <v>1623.3219999999999</v>
      </c>
      <c r="N27" s="253">
        <v>1.9E-2</v>
      </c>
      <c r="O27" s="127">
        <f t="shared" si="0"/>
        <v>1</v>
      </c>
    </row>
    <row r="28" spans="1:15" x14ac:dyDescent="0.2">
      <c r="B28" s="2" t="s">
        <v>88</v>
      </c>
      <c r="C28" s="255"/>
      <c r="D28" s="250"/>
      <c r="E28" s="251"/>
      <c r="F28" s="250"/>
      <c r="G28" s="251"/>
      <c r="H28" s="250"/>
      <c r="I28" s="252">
        <f t="shared" si="4"/>
        <v>741.4190000000001</v>
      </c>
      <c r="J28" s="253">
        <v>4.0000000000000001E-3</v>
      </c>
      <c r="K28" s="252">
        <f>H82*0.005</f>
        <v>485.10500000000002</v>
      </c>
      <c r="L28" s="253">
        <v>5.0000000000000001E-3</v>
      </c>
      <c r="M28" s="252">
        <f>I82*0.003</f>
        <v>256.31400000000002</v>
      </c>
      <c r="N28" s="253">
        <v>3.0000000000000001E-3</v>
      </c>
      <c r="O28" s="127">
        <f t="shared" si="0"/>
        <v>0.3457073530621686</v>
      </c>
    </row>
    <row r="29" spans="1:15" x14ac:dyDescent="0.2">
      <c r="B29" s="2"/>
      <c r="C29" s="255"/>
      <c r="D29" s="256"/>
      <c r="E29" s="251"/>
      <c r="F29" s="256"/>
      <c r="G29" s="251"/>
      <c r="H29" s="256"/>
      <c r="I29" s="257"/>
      <c r="J29" s="258"/>
      <c r="K29" s="259"/>
      <c r="L29" s="258"/>
      <c r="M29" s="259"/>
      <c r="N29" s="258"/>
      <c r="O29" s="127"/>
    </row>
    <row r="30" spans="1:15" x14ac:dyDescent="0.2">
      <c r="B30" s="260" t="s">
        <v>178</v>
      </c>
      <c r="C30" s="261"/>
      <c r="D30" s="262"/>
      <c r="E30" s="263"/>
      <c r="F30" s="262"/>
      <c r="G30" s="263"/>
      <c r="H30" s="262"/>
      <c r="I30" s="263"/>
      <c r="J30" s="262"/>
      <c r="K30" s="263"/>
      <c r="L30" s="262"/>
      <c r="M30" s="263"/>
      <c r="N30" s="262"/>
      <c r="O30" s="127"/>
    </row>
    <row r="31" spans="1:15" x14ac:dyDescent="0.2">
      <c r="B31" s="2" t="s">
        <v>736</v>
      </c>
      <c r="C31" s="255"/>
      <c r="D31" s="250"/>
      <c r="E31" s="251"/>
      <c r="F31" s="250"/>
      <c r="G31" s="251"/>
      <c r="H31" s="250"/>
      <c r="I31" s="252">
        <f t="shared" ref="I31:I32" si="5">K31+M31</f>
        <v>2724.7269999999999</v>
      </c>
      <c r="J31" s="253">
        <v>1.2E-2</v>
      </c>
      <c r="K31" s="252">
        <f>D82*0.009</f>
        <v>1074.087</v>
      </c>
      <c r="L31" s="253">
        <v>8.9999999999999993E-3</v>
      </c>
      <c r="M31" s="252">
        <f>E82*0.016</f>
        <v>1650.64</v>
      </c>
      <c r="N31" s="253">
        <v>1.6E-2</v>
      </c>
      <c r="O31" s="127">
        <f t="shared" si="0"/>
        <v>0.60580014071134469</v>
      </c>
    </row>
    <row r="32" spans="1:15" x14ac:dyDescent="0.2">
      <c r="B32" s="2" t="s">
        <v>88</v>
      </c>
      <c r="C32" s="255"/>
      <c r="D32" s="250"/>
      <c r="E32" s="251"/>
      <c r="F32" s="250"/>
      <c r="G32" s="251"/>
      <c r="H32" s="250"/>
      <c r="I32" s="252">
        <f t="shared" si="5"/>
        <v>12282.49</v>
      </c>
      <c r="J32" s="253">
        <v>5.3999999999999999E-2</v>
      </c>
      <c r="K32" s="252">
        <f>D82*0.045</f>
        <v>5370.4349999999995</v>
      </c>
      <c r="L32" s="253">
        <v>4.4999999999999998E-2</v>
      </c>
      <c r="M32" s="252">
        <f>E82*0.067</f>
        <v>6912.0550000000003</v>
      </c>
      <c r="N32" s="253">
        <v>6.7000000000000004E-2</v>
      </c>
      <c r="O32" s="127">
        <f t="shared" si="0"/>
        <v>0.56275681885350615</v>
      </c>
    </row>
    <row r="33" spans="1:15" x14ac:dyDescent="0.2">
      <c r="C33" s="2477">
        <v>2014</v>
      </c>
      <c r="D33" s="2477"/>
      <c r="E33" s="2477"/>
      <c r="F33" s="2477"/>
      <c r="G33" s="2477"/>
      <c r="H33" s="2477"/>
      <c r="I33" s="2477"/>
      <c r="J33" s="2477"/>
      <c r="K33" s="2477"/>
      <c r="L33" s="2477"/>
      <c r="M33" s="2477"/>
      <c r="N33" s="2478"/>
      <c r="O33" s="127"/>
    </row>
    <row r="34" spans="1:15" x14ac:dyDescent="0.2">
      <c r="C34" s="2479" t="s">
        <v>12</v>
      </c>
      <c r="D34" s="2479"/>
      <c r="E34" s="2479"/>
      <c r="F34" s="2479"/>
      <c r="G34" s="2479"/>
      <c r="H34" s="2480"/>
      <c r="I34" s="2481" t="s">
        <v>10</v>
      </c>
      <c r="J34" s="2482"/>
      <c r="K34" s="2482"/>
      <c r="L34" s="2482"/>
      <c r="M34" s="2482"/>
      <c r="N34" s="2483"/>
      <c r="O34" s="127"/>
    </row>
    <row r="35" spans="1:15" x14ac:dyDescent="0.2">
      <c r="C35" s="2479" t="s">
        <v>49</v>
      </c>
      <c r="D35" s="2480"/>
      <c r="E35" s="2484" t="s">
        <v>48</v>
      </c>
      <c r="F35" s="2480"/>
      <c r="G35" s="2484" t="s">
        <v>47</v>
      </c>
      <c r="H35" s="2480"/>
      <c r="I35" s="2481" t="s">
        <v>49</v>
      </c>
      <c r="J35" s="2483"/>
      <c r="K35" s="2481" t="s">
        <v>48</v>
      </c>
      <c r="L35" s="2483"/>
      <c r="M35" s="2481" t="s">
        <v>47</v>
      </c>
      <c r="N35" s="2483"/>
      <c r="O35" s="127"/>
    </row>
    <row r="36" spans="1:15" x14ac:dyDescent="0.2">
      <c r="A36" s="243" t="s">
        <v>739</v>
      </c>
      <c r="B36" s="244" t="s">
        <v>731</v>
      </c>
      <c r="C36" s="245" t="s">
        <v>732</v>
      </c>
      <c r="D36" s="246" t="s">
        <v>733</v>
      </c>
      <c r="E36" s="246" t="s">
        <v>732</v>
      </c>
      <c r="F36" s="246" t="s">
        <v>733</v>
      </c>
      <c r="G36" s="246" t="s">
        <v>732</v>
      </c>
      <c r="H36" s="246" t="s">
        <v>733</v>
      </c>
      <c r="I36" s="246" t="s">
        <v>732</v>
      </c>
      <c r="J36" s="247" t="s">
        <v>733</v>
      </c>
      <c r="K36" s="247" t="s">
        <v>732</v>
      </c>
      <c r="L36" s="247" t="s">
        <v>733</v>
      </c>
      <c r="M36" s="247" t="s">
        <v>732</v>
      </c>
      <c r="N36" s="247" t="s">
        <v>733</v>
      </c>
      <c r="O36" s="127"/>
    </row>
    <row r="37" spans="1:15" x14ac:dyDescent="0.2">
      <c r="B37" s="2" t="s">
        <v>735</v>
      </c>
      <c r="C37" s="249"/>
      <c r="D37" s="250"/>
      <c r="E37" s="251"/>
      <c r="F37" s="250"/>
      <c r="G37" s="251"/>
      <c r="H37" s="250"/>
      <c r="I37" s="252">
        <f t="shared" ref="I37:I38" si="6">K37+M37</f>
        <v>1339.2049999999999</v>
      </c>
      <c r="J37" s="253">
        <v>4.0000000000000001E-3</v>
      </c>
      <c r="K37" s="252">
        <f>H83*0.007</f>
        <v>1339.2049999999999</v>
      </c>
      <c r="L37" s="253">
        <v>7.0000000000000001E-3</v>
      </c>
      <c r="M37" s="252">
        <v>0</v>
      </c>
      <c r="N37" s="253">
        <v>0</v>
      </c>
      <c r="O37" s="127">
        <f t="shared" si="0"/>
        <v>0</v>
      </c>
    </row>
    <row r="38" spans="1:15" x14ac:dyDescent="0.2">
      <c r="B38" s="2" t="s">
        <v>88</v>
      </c>
      <c r="C38" s="255"/>
      <c r="D38" s="250"/>
      <c r="E38" s="251"/>
      <c r="F38" s="250"/>
      <c r="G38" s="251"/>
      <c r="H38" s="250"/>
      <c r="I38" s="252">
        <f t="shared" si="6"/>
        <v>5322.7790000000005</v>
      </c>
      <c r="J38" s="253">
        <v>1.4E-2</v>
      </c>
      <c r="K38" s="252">
        <f>H83*0.007</f>
        <v>1339.2049999999999</v>
      </c>
      <c r="L38" s="253">
        <v>7.0000000000000001E-3</v>
      </c>
      <c r="M38" s="252">
        <f>I83*0.021</f>
        <v>3983.5740000000001</v>
      </c>
      <c r="N38" s="253">
        <v>2.1000000000000001E-2</v>
      </c>
      <c r="O38" s="127">
        <f t="shared" si="0"/>
        <v>0.74840116412873792</v>
      </c>
    </row>
    <row r="39" spans="1:15" x14ac:dyDescent="0.2">
      <c r="B39" s="2"/>
      <c r="C39" s="255"/>
      <c r="D39" s="256"/>
      <c r="E39" s="251"/>
      <c r="F39" s="256"/>
      <c r="G39" s="251"/>
      <c r="H39" s="256"/>
      <c r="I39" s="257"/>
      <c r="J39" s="258"/>
      <c r="K39" s="259"/>
      <c r="L39" s="258"/>
      <c r="M39" s="259"/>
      <c r="N39" s="258"/>
      <c r="O39" s="127"/>
    </row>
    <row r="40" spans="1:15" x14ac:dyDescent="0.2">
      <c r="B40" s="260" t="s">
        <v>178</v>
      </c>
      <c r="C40" s="261"/>
      <c r="D40" s="262"/>
      <c r="E40" s="263"/>
      <c r="F40" s="262"/>
      <c r="G40" s="263"/>
      <c r="H40" s="262"/>
      <c r="I40" s="263"/>
      <c r="J40" s="262"/>
      <c r="K40" s="263"/>
      <c r="L40" s="262"/>
      <c r="M40" s="263"/>
      <c r="N40" s="262"/>
      <c r="O40" s="127"/>
    </row>
    <row r="41" spans="1:15" x14ac:dyDescent="0.2">
      <c r="B41" s="2" t="s">
        <v>736</v>
      </c>
      <c r="C41" s="255"/>
      <c r="D41" s="250"/>
      <c r="E41" s="251"/>
      <c r="F41" s="250"/>
      <c r="G41" s="251"/>
      <c r="H41" s="250"/>
      <c r="I41" s="252">
        <f t="shared" ref="I41:I42" si="7">K41+M41</f>
        <v>7576.37</v>
      </c>
      <c r="J41" s="253">
        <v>1.4999999999999999E-2</v>
      </c>
      <c r="K41" s="252">
        <f>D83*0.023</f>
        <v>5830.8220000000001</v>
      </c>
      <c r="L41" s="253">
        <v>2.3E-2</v>
      </c>
      <c r="M41" s="252">
        <f>E83*0.007</f>
        <v>1745.548</v>
      </c>
      <c r="N41" s="253">
        <v>7.0000000000000001E-3</v>
      </c>
      <c r="O41" s="127">
        <f t="shared" si="0"/>
        <v>0.23039371097240499</v>
      </c>
    </row>
    <row r="42" spans="1:15" x14ac:dyDescent="0.2">
      <c r="B42" s="2" t="s">
        <v>88</v>
      </c>
      <c r="C42" s="255"/>
      <c r="D42" s="250"/>
      <c r="E42" s="251"/>
      <c r="F42" s="250"/>
      <c r="G42" s="251"/>
      <c r="H42" s="250"/>
      <c r="I42" s="252">
        <f t="shared" si="7"/>
        <v>24828.135999999999</v>
      </c>
      <c r="J42" s="253">
        <v>4.8000000000000001E-2</v>
      </c>
      <c r="K42" s="252">
        <f>D83*0.034</f>
        <v>8619.4760000000006</v>
      </c>
      <c r="L42" s="253">
        <v>3.4000000000000002E-2</v>
      </c>
      <c r="M42" s="252">
        <f>E83*0.065</f>
        <v>16208.66</v>
      </c>
      <c r="N42" s="253">
        <v>6.5000000000000002E-2</v>
      </c>
      <c r="O42" s="127">
        <f t="shared" si="0"/>
        <v>0.65283434890158487</v>
      </c>
    </row>
    <row r="43" spans="1:15" x14ac:dyDescent="0.2">
      <c r="C43" s="2477">
        <v>2014</v>
      </c>
      <c r="D43" s="2477"/>
      <c r="E43" s="2477"/>
      <c r="F43" s="2477"/>
      <c r="G43" s="2477"/>
      <c r="H43" s="2477"/>
      <c r="I43" s="2477"/>
      <c r="J43" s="2477"/>
      <c r="K43" s="2477"/>
      <c r="L43" s="2477"/>
      <c r="M43" s="2477"/>
      <c r="N43" s="2478"/>
      <c r="O43" s="127"/>
    </row>
    <row r="44" spans="1:15" x14ac:dyDescent="0.2">
      <c r="C44" s="2479" t="s">
        <v>12</v>
      </c>
      <c r="D44" s="2479"/>
      <c r="E44" s="2479"/>
      <c r="F44" s="2479"/>
      <c r="G44" s="2479"/>
      <c r="H44" s="2480"/>
      <c r="I44" s="2481" t="s">
        <v>10</v>
      </c>
      <c r="J44" s="2482"/>
      <c r="K44" s="2482"/>
      <c r="L44" s="2482"/>
      <c r="M44" s="2482"/>
      <c r="N44" s="2483"/>
      <c r="O44" s="127"/>
    </row>
    <row r="45" spans="1:15" x14ac:dyDescent="0.2">
      <c r="C45" s="2479" t="s">
        <v>49</v>
      </c>
      <c r="D45" s="2480"/>
      <c r="E45" s="2484" t="s">
        <v>48</v>
      </c>
      <c r="F45" s="2480"/>
      <c r="G45" s="2484" t="s">
        <v>47</v>
      </c>
      <c r="H45" s="2480"/>
      <c r="I45" s="2481" t="s">
        <v>49</v>
      </c>
      <c r="J45" s="2483"/>
      <c r="K45" s="2481" t="s">
        <v>48</v>
      </c>
      <c r="L45" s="2483"/>
      <c r="M45" s="2481" t="s">
        <v>47</v>
      </c>
      <c r="N45" s="2483"/>
      <c r="O45" s="127"/>
    </row>
    <row r="46" spans="1:15" x14ac:dyDescent="0.2">
      <c r="A46" s="243" t="s">
        <v>740</v>
      </c>
      <c r="B46" s="244" t="s">
        <v>731</v>
      </c>
      <c r="C46" s="245" t="s">
        <v>732</v>
      </c>
      <c r="D46" s="246" t="s">
        <v>733</v>
      </c>
      <c r="E46" s="246" t="s">
        <v>732</v>
      </c>
      <c r="F46" s="246" t="s">
        <v>733</v>
      </c>
      <c r="G46" s="246" t="s">
        <v>732</v>
      </c>
      <c r="H46" s="246" t="s">
        <v>733</v>
      </c>
      <c r="I46" s="246" t="s">
        <v>732</v>
      </c>
      <c r="J46" s="247" t="s">
        <v>733</v>
      </c>
      <c r="K46" s="247" t="s">
        <v>732</v>
      </c>
      <c r="L46" s="247" t="s">
        <v>733</v>
      </c>
      <c r="M46" s="247" t="s">
        <v>732</v>
      </c>
      <c r="N46" s="247" t="s">
        <v>733</v>
      </c>
      <c r="O46" s="127"/>
    </row>
    <row r="47" spans="1:15" x14ac:dyDescent="0.2">
      <c r="B47" s="2" t="s">
        <v>735</v>
      </c>
      <c r="C47" s="249"/>
      <c r="D47" s="250"/>
      <c r="E47" s="251"/>
      <c r="F47" s="250"/>
      <c r="G47" s="251"/>
      <c r="H47" s="250"/>
      <c r="I47" s="252">
        <f t="shared" ref="I47:I48" si="8">K47+M47</f>
        <v>1298.1399999999999</v>
      </c>
      <c r="J47" s="253">
        <v>4.1000000000000002E-2</v>
      </c>
      <c r="K47" s="252">
        <f>H84*0.03</f>
        <v>500.49</v>
      </c>
      <c r="L47" s="253">
        <v>0.03</v>
      </c>
      <c r="M47" s="252">
        <f>I84*0.053</f>
        <v>797.65</v>
      </c>
      <c r="N47" s="253">
        <v>5.2999999999999999E-2</v>
      </c>
      <c r="O47" s="127">
        <f t="shared" si="0"/>
        <v>0.61445606791255181</v>
      </c>
    </row>
    <row r="48" spans="1:15" x14ac:dyDescent="0.2">
      <c r="B48" s="2" t="s">
        <v>88</v>
      </c>
      <c r="C48" s="255"/>
      <c r="D48" s="250"/>
      <c r="E48" s="251"/>
      <c r="F48" s="250"/>
      <c r="G48" s="251"/>
      <c r="H48" s="250"/>
      <c r="I48" s="252">
        <f t="shared" si="8"/>
        <v>1080.9079999999999</v>
      </c>
      <c r="J48" s="253">
        <v>3.4000000000000002E-2</v>
      </c>
      <c r="K48" s="252">
        <f>H84*0.026</f>
        <v>433.75799999999998</v>
      </c>
      <c r="L48" s="253">
        <v>2.5999999999999999E-2</v>
      </c>
      <c r="M48" s="252">
        <f>I84*0.043</f>
        <v>647.15</v>
      </c>
      <c r="N48" s="253">
        <v>4.2999999999999997E-2</v>
      </c>
      <c r="O48" s="127">
        <f t="shared" si="0"/>
        <v>0.59870960340750556</v>
      </c>
    </row>
    <row r="49" spans="1:15" x14ac:dyDescent="0.2">
      <c r="B49" s="2"/>
      <c r="C49" s="255"/>
      <c r="D49" s="256"/>
      <c r="E49" s="251"/>
      <c r="F49" s="256"/>
      <c r="G49" s="251"/>
      <c r="H49" s="256"/>
      <c r="I49" s="257"/>
      <c r="J49" s="258"/>
      <c r="K49" s="259"/>
      <c r="L49" s="258"/>
      <c r="M49" s="259"/>
      <c r="N49" s="258"/>
      <c r="O49" s="127"/>
    </row>
    <row r="50" spans="1:15" x14ac:dyDescent="0.2">
      <c r="B50" s="260" t="s">
        <v>178</v>
      </c>
      <c r="C50" s="261"/>
      <c r="D50" s="262"/>
      <c r="E50" s="263"/>
      <c r="F50" s="262"/>
      <c r="G50" s="263"/>
      <c r="H50" s="262"/>
      <c r="I50" s="263"/>
      <c r="J50" s="262"/>
      <c r="K50" s="263"/>
      <c r="L50" s="262"/>
      <c r="M50" s="263"/>
      <c r="N50" s="262"/>
      <c r="O50" s="127"/>
    </row>
    <row r="51" spans="1:15" x14ac:dyDescent="0.2">
      <c r="B51" s="2" t="s">
        <v>736</v>
      </c>
      <c r="C51" s="255"/>
      <c r="D51" s="250"/>
      <c r="E51" s="251"/>
      <c r="F51" s="250"/>
      <c r="G51" s="251"/>
      <c r="H51" s="250"/>
      <c r="I51" s="252">
        <f t="shared" ref="I51:I52" si="9">K51+M51</f>
        <v>142.792</v>
      </c>
      <c r="J51" s="253">
        <v>4.0000000000000001E-3</v>
      </c>
      <c r="K51" s="252">
        <f>D84*0.004</f>
        <v>74.388000000000005</v>
      </c>
      <c r="L51" s="253">
        <v>4.0000000000000001E-3</v>
      </c>
      <c r="M51" s="252">
        <f>E84*0.004</f>
        <v>68.403999999999996</v>
      </c>
      <c r="N51" s="253">
        <v>4.0000000000000001E-3</v>
      </c>
      <c r="O51" s="127">
        <f t="shared" si="0"/>
        <v>0.47904644517900158</v>
      </c>
    </row>
    <row r="52" spans="1:15" x14ac:dyDescent="0.2">
      <c r="B52" s="2" t="s">
        <v>88</v>
      </c>
      <c r="C52" s="255"/>
      <c r="D52" s="250"/>
      <c r="E52" s="251"/>
      <c r="F52" s="250"/>
      <c r="G52" s="251"/>
      <c r="H52" s="250"/>
      <c r="I52" s="252">
        <f t="shared" si="9"/>
        <v>1577.9859999999999</v>
      </c>
      <c r="J52" s="253">
        <v>4.1000000000000002E-2</v>
      </c>
      <c r="K52" s="252">
        <f>D84*0.026</f>
        <v>483.52199999999999</v>
      </c>
      <c r="L52" s="253">
        <v>2.5999999999999999E-2</v>
      </c>
      <c r="M52" s="252">
        <f>E84*0.064</f>
        <v>1094.4639999999999</v>
      </c>
      <c r="N52" s="253">
        <v>6.4000000000000001E-2</v>
      </c>
      <c r="O52" s="127">
        <f t="shared" si="0"/>
        <v>0.69358283280079802</v>
      </c>
    </row>
    <row r="53" spans="1:15" x14ac:dyDescent="0.2">
      <c r="C53" s="2477">
        <v>2014</v>
      </c>
      <c r="D53" s="2477"/>
      <c r="E53" s="2477"/>
      <c r="F53" s="2477"/>
      <c r="G53" s="2477"/>
      <c r="H53" s="2477"/>
      <c r="I53" s="2477"/>
      <c r="J53" s="2477"/>
      <c r="K53" s="2477"/>
      <c r="L53" s="2477"/>
      <c r="M53" s="2477"/>
      <c r="N53" s="2478"/>
      <c r="O53" s="127"/>
    </row>
    <row r="54" spans="1:15" x14ac:dyDescent="0.2">
      <c r="C54" s="2479" t="s">
        <v>12</v>
      </c>
      <c r="D54" s="2479"/>
      <c r="E54" s="2479"/>
      <c r="F54" s="2479"/>
      <c r="G54" s="2479"/>
      <c r="H54" s="2480"/>
      <c r="I54" s="2481" t="s">
        <v>10</v>
      </c>
      <c r="J54" s="2482"/>
      <c r="K54" s="2482"/>
      <c r="L54" s="2482"/>
      <c r="M54" s="2482"/>
      <c r="N54" s="2483"/>
      <c r="O54" s="127"/>
    </row>
    <row r="55" spans="1:15" x14ac:dyDescent="0.2">
      <c r="C55" s="2479" t="s">
        <v>49</v>
      </c>
      <c r="D55" s="2480"/>
      <c r="E55" s="2484" t="s">
        <v>48</v>
      </c>
      <c r="F55" s="2480"/>
      <c r="G55" s="2484" t="s">
        <v>47</v>
      </c>
      <c r="H55" s="2480"/>
      <c r="I55" s="2481" t="s">
        <v>49</v>
      </c>
      <c r="J55" s="2483"/>
      <c r="K55" s="2481" t="s">
        <v>48</v>
      </c>
      <c r="L55" s="2483"/>
      <c r="M55" s="2481" t="s">
        <v>47</v>
      </c>
      <c r="N55" s="2483"/>
      <c r="O55" s="127"/>
    </row>
    <row r="56" spans="1:15" x14ac:dyDescent="0.2">
      <c r="A56" s="243" t="s">
        <v>741</v>
      </c>
      <c r="B56" s="244" t="s">
        <v>731</v>
      </c>
      <c r="C56" s="245" t="s">
        <v>732</v>
      </c>
      <c r="D56" s="246" t="s">
        <v>733</v>
      </c>
      <c r="E56" s="246" t="s">
        <v>732</v>
      </c>
      <c r="F56" s="246" t="s">
        <v>733</v>
      </c>
      <c r="G56" s="246" t="s">
        <v>732</v>
      </c>
      <c r="H56" s="246" t="s">
        <v>733</v>
      </c>
      <c r="I56" s="246" t="s">
        <v>732</v>
      </c>
      <c r="J56" s="247" t="s">
        <v>733</v>
      </c>
      <c r="K56" s="247" t="s">
        <v>732</v>
      </c>
      <c r="L56" s="247" t="s">
        <v>733</v>
      </c>
      <c r="M56" s="247" t="s">
        <v>732</v>
      </c>
      <c r="N56" s="247" t="s">
        <v>733</v>
      </c>
      <c r="O56" s="127"/>
    </row>
    <row r="57" spans="1:15" x14ac:dyDescent="0.2">
      <c r="B57" s="2" t="s">
        <v>735</v>
      </c>
      <c r="C57" s="249"/>
      <c r="D57" s="250"/>
      <c r="E57" s="251"/>
      <c r="F57" s="250"/>
      <c r="G57" s="251"/>
      <c r="H57" s="250"/>
      <c r="I57" s="252">
        <f t="shared" ref="I57:I58" si="10">K57+M57</f>
        <v>5309.7219999999998</v>
      </c>
      <c r="J57" s="253">
        <v>7.5999999999999998E-2</v>
      </c>
      <c r="K57" s="252">
        <f>H85*0.078</f>
        <v>2695.4459999999999</v>
      </c>
      <c r="L57" s="253">
        <v>7.8E-2</v>
      </c>
      <c r="M57" s="252">
        <f>I85*0.073</f>
        <v>2614.2759999999998</v>
      </c>
      <c r="N57" s="253">
        <v>7.2999999999999995E-2</v>
      </c>
      <c r="O57" s="127">
        <f t="shared" si="0"/>
        <v>0.49235647365342289</v>
      </c>
    </row>
    <row r="58" spans="1:15" x14ac:dyDescent="0.2">
      <c r="B58" s="2" t="s">
        <v>88</v>
      </c>
      <c r="C58" s="255"/>
      <c r="D58" s="250"/>
      <c r="E58" s="251"/>
      <c r="F58" s="250"/>
      <c r="G58" s="251"/>
      <c r="H58" s="250"/>
      <c r="I58" s="252">
        <f t="shared" si="10"/>
        <v>6987.866</v>
      </c>
      <c r="J58" s="253">
        <v>9.9000000000000005E-2</v>
      </c>
      <c r="K58" s="252">
        <f>H85*0.082</f>
        <v>2833.674</v>
      </c>
      <c r="L58" s="253">
        <v>8.2000000000000003E-2</v>
      </c>
      <c r="M58" s="252">
        <f>I85*0.116</f>
        <v>4154.192</v>
      </c>
      <c r="N58" s="253">
        <v>0.11600000000000001</v>
      </c>
      <c r="O58" s="127">
        <f t="shared" si="0"/>
        <v>0.59448649988422786</v>
      </c>
    </row>
    <row r="59" spans="1:15" x14ac:dyDescent="0.2">
      <c r="B59" s="2"/>
      <c r="C59" s="255"/>
      <c r="D59" s="256"/>
      <c r="E59" s="251"/>
      <c r="F59" s="256"/>
      <c r="G59" s="251"/>
      <c r="H59" s="256"/>
      <c r="I59" s="257"/>
      <c r="J59" s="258"/>
      <c r="K59" s="259"/>
      <c r="L59" s="258"/>
      <c r="M59" s="259"/>
      <c r="N59" s="258"/>
      <c r="O59" s="127"/>
    </row>
    <row r="60" spans="1:15" x14ac:dyDescent="0.2">
      <c r="B60" s="260" t="s">
        <v>178</v>
      </c>
      <c r="C60" s="261"/>
      <c r="D60" s="262"/>
      <c r="E60" s="263"/>
      <c r="F60" s="262"/>
      <c r="G60" s="263"/>
      <c r="H60" s="262"/>
      <c r="I60" s="263"/>
      <c r="J60" s="262"/>
      <c r="K60" s="263"/>
      <c r="L60" s="262"/>
      <c r="M60" s="263"/>
      <c r="N60" s="262"/>
      <c r="O60" s="127"/>
    </row>
    <row r="61" spans="1:15" x14ac:dyDescent="0.2">
      <c r="B61" s="2" t="s">
        <v>736</v>
      </c>
      <c r="C61" s="255"/>
      <c r="D61" s="250"/>
      <c r="E61" s="251"/>
      <c r="F61" s="250"/>
      <c r="G61" s="251"/>
      <c r="H61" s="250"/>
      <c r="I61" s="252">
        <f t="shared" ref="I61:I62" si="11">K61+M61</f>
        <v>8717.6309999999994</v>
      </c>
      <c r="J61" s="253">
        <v>0.14499999999999999</v>
      </c>
      <c r="K61" s="252">
        <f>D85*0.084</f>
        <v>2408.7840000000001</v>
      </c>
      <c r="L61" s="253">
        <v>8.4000000000000005E-2</v>
      </c>
      <c r="M61" s="252">
        <f>E85*0.213</f>
        <v>6308.8469999999998</v>
      </c>
      <c r="N61" s="253">
        <v>0.21299999999999999</v>
      </c>
      <c r="O61" s="127">
        <f t="shared" si="0"/>
        <v>0.7236882359439164</v>
      </c>
    </row>
    <row r="62" spans="1:15" x14ac:dyDescent="0.2">
      <c r="B62" s="2" t="s">
        <v>88</v>
      </c>
      <c r="C62" s="255"/>
      <c r="D62" s="250"/>
      <c r="E62" s="251"/>
      <c r="F62" s="250"/>
      <c r="G62" s="251"/>
      <c r="H62" s="250"/>
      <c r="I62" s="252">
        <f t="shared" si="11"/>
        <v>17239.846000000001</v>
      </c>
      <c r="J62" s="253">
        <v>0.29599999999999999</v>
      </c>
      <c r="K62" s="252">
        <f>D85*0.281</f>
        <v>8057.956000000001</v>
      </c>
      <c r="L62" s="253">
        <v>0.28100000000000003</v>
      </c>
      <c r="M62" s="252">
        <f>E85*0.31</f>
        <v>9181.89</v>
      </c>
      <c r="N62" s="253">
        <v>0.31</v>
      </c>
      <c r="O62" s="127">
        <f t="shared" si="0"/>
        <v>0.53259698491506235</v>
      </c>
    </row>
    <row r="63" spans="1:15" x14ac:dyDescent="0.2">
      <c r="B63" s="270"/>
      <c r="C63" s="271"/>
      <c r="D63" s="272"/>
      <c r="E63" s="273"/>
      <c r="F63" s="272"/>
      <c r="G63" s="273"/>
      <c r="H63" s="272"/>
      <c r="I63" s="274"/>
      <c r="J63" s="275"/>
      <c r="K63" s="274"/>
      <c r="L63" s="275"/>
      <c r="M63" s="274"/>
      <c r="N63" s="275"/>
      <c r="O63" s="270"/>
    </row>
    <row r="64" spans="1:15" x14ac:dyDescent="0.2">
      <c r="B64" s="270"/>
      <c r="C64" s="271"/>
      <c r="D64" s="272"/>
      <c r="E64" s="273"/>
      <c r="F64" s="272"/>
      <c r="G64" s="273"/>
      <c r="H64" s="272"/>
      <c r="I64" s="274"/>
      <c r="J64" s="275"/>
      <c r="K64" s="274"/>
      <c r="L64" s="275"/>
      <c r="M64" s="274"/>
      <c r="N64" s="275"/>
      <c r="O64" s="270"/>
    </row>
    <row r="65" spans="1:24" x14ac:dyDescent="0.2">
      <c r="B65" s="270"/>
      <c r="C65" s="271"/>
      <c r="D65" s="272"/>
      <c r="E65" s="273"/>
      <c r="F65" s="272"/>
      <c r="G65" s="273"/>
      <c r="H65" s="272"/>
      <c r="I65" s="274"/>
      <c r="J65" s="275"/>
      <c r="K65" s="274"/>
      <c r="L65" s="275"/>
      <c r="M65" s="274"/>
      <c r="N65" s="275"/>
      <c r="O65" s="270"/>
    </row>
    <row r="66" spans="1:24" ht="15" x14ac:dyDescent="0.2">
      <c r="B66" s="276"/>
      <c r="C66" s="2488">
        <v>2014</v>
      </c>
      <c r="D66" s="2488"/>
      <c r="E66" s="2488"/>
      <c r="F66" s="2488"/>
      <c r="G66" s="2488"/>
      <c r="H66" s="2488"/>
      <c r="I66" s="2488"/>
      <c r="J66" s="2488"/>
      <c r="K66" s="2488"/>
      <c r="L66" s="2488"/>
      <c r="M66" s="2488"/>
      <c r="N66" s="2489"/>
    </row>
    <row r="67" spans="1:24" ht="15" x14ac:dyDescent="0.25">
      <c r="A67" s="277" t="s">
        <v>719</v>
      </c>
      <c r="C67" s="2479" t="s">
        <v>12</v>
      </c>
      <c r="D67" s="2479"/>
      <c r="E67" s="2479"/>
      <c r="F67" s="2479"/>
      <c r="G67" s="2479"/>
      <c r="H67" s="2480"/>
      <c r="I67" s="2481" t="s">
        <v>10</v>
      </c>
      <c r="J67" s="2482"/>
      <c r="K67" s="2482"/>
      <c r="L67" s="2482"/>
      <c r="M67" s="2482"/>
      <c r="N67" s="2483"/>
    </row>
    <row r="68" spans="1:24" x14ac:dyDescent="0.2">
      <c r="A68" s="225"/>
      <c r="B68" s="244" t="s">
        <v>731</v>
      </c>
      <c r="C68" s="2479" t="s">
        <v>49</v>
      </c>
      <c r="D68" s="2480"/>
      <c r="E68" s="2484" t="s">
        <v>48</v>
      </c>
      <c r="F68" s="2480"/>
      <c r="G68" s="2484" t="s">
        <v>47</v>
      </c>
      <c r="H68" s="2480"/>
      <c r="I68" s="2481" t="s">
        <v>49</v>
      </c>
      <c r="J68" s="2483"/>
      <c r="K68" s="2481" t="s">
        <v>48</v>
      </c>
      <c r="L68" s="2483"/>
      <c r="M68" s="2481" t="s">
        <v>47</v>
      </c>
      <c r="N68" s="2483"/>
    </row>
    <row r="69" spans="1:24" ht="15" x14ac:dyDescent="0.25">
      <c r="A69" s="225"/>
      <c r="B69" s="2" t="s">
        <v>735</v>
      </c>
      <c r="C69" s="278">
        <v>5075</v>
      </c>
      <c r="D69" s="250">
        <v>9.7999999999999997E-3</v>
      </c>
      <c r="E69" s="251">
        <v>3045</v>
      </c>
      <c r="F69" s="250">
        <v>5.8999999999999999E-3</v>
      </c>
      <c r="G69" s="251">
        <v>2030</v>
      </c>
      <c r="H69" s="250">
        <v>3.5000000000000001E-3</v>
      </c>
      <c r="I69" s="279">
        <f>J86*0.016</f>
        <v>12651.776</v>
      </c>
      <c r="J69" s="280">
        <v>1.6E-2</v>
      </c>
      <c r="K69" s="279">
        <f>H86*0.016</f>
        <v>6540</v>
      </c>
      <c r="L69" s="280">
        <v>1.6E-2</v>
      </c>
      <c r="M69" s="279">
        <f>I86*0.016</f>
        <v>6111.7759999999998</v>
      </c>
      <c r="N69" s="281">
        <v>1.6E-2</v>
      </c>
      <c r="O69">
        <f>M69/I69</f>
        <v>0.48307652617308433</v>
      </c>
    </row>
    <row r="70" spans="1:24" ht="15" x14ac:dyDescent="0.25">
      <c r="A70" s="225"/>
      <c r="B70" s="2" t="s">
        <v>88</v>
      </c>
      <c r="C70" s="278">
        <v>15819</v>
      </c>
      <c r="D70" s="250">
        <v>1.84E-2</v>
      </c>
      <c r="E70" s="251">
        <v>9491</v>
      </c>
      <c r="F70" s="250">
        <v>1.84E-2</v>
      </c>
      <c r="G70" s="251">
        <v>6328</v>
      </c>
      <c r="H70" s="250">
        <v>1.2200000000000001E-2</v>
      </c>
      <c r="I70" s="279">
        <f>J86*0.02</f>
        <v>15814.720000000001</v>
      </c>
      <c r="J70" s="280">
        <v>0.02</v>
      </c>
      <c r="K70" s="279">
        <f>H86*0.014</f>
        <v>5722.5</v>
      </c>
      <c r="L70" s="280">
        <v>1.4E-2</v>
      </c>
      <c r="M70" s="279">
        <f>I86*0.02</f>
        <v>7639.72</v>
      </c>
      <c r="N70" s="281">
        <v>0.02</v>
      </c>
      <c r="O70">
        <f t="shared" ref="O70:O73" si="12">M70/I70</f>
        <v>0.48307652617308428</v>
      </c>
    </row>
    <row r="71" spans="1:24" ht="15" x14ac:dyDescent="0.25">
      <c r="A71" s="225"/>
      <c r="B71" s="260" t="s">
        <v>178</v>
      </c>
      <c r="C71" s="278"/>
      <c r="D71" s="250"/>
      <c r="E71" s="251"/>
      <c r="F71" s="250"/>
      <c r="G71" s="251"/>
      <c r="H71" s="250"/>
      <c r="I71" s="282"/>
      <c r="J71" s="280"/>
      <c r="K71" s="283"/>
      <c r="L71" s="280"/>
      <c r="M71" s="279"/>
      <c r="N71" s="281"/>
    </row>
    <row r="72" spans="1:24" ht="15" x14ac:dyDescent="0.25">
      <c r="A72" s="225"/>
      <c r="B72" s="2" t="s">
        <v>736</v>
      </c>
      <c r="C72" s="278">
        <v>16813</v>
      </c>
      <c r="D72" s="250">
        <v>3.2500000000000001E-2</v>
      </c>
      <c r="E72" s="251">
        <v>10088</v>
      </c>
      <c r="F72" s="250">
        <v>1.95E-2</v>
      </c>
      <c r="G72" s="251">
        <v>6725</v>
      </c>
      <c r="H72" s="250">
        <v>1.2999999999999999E-2</v>
      </c>
      <c r="I72" s="279">
        <f>F86*0.025</f>
        <v>23684.2</v>
      </c>
      <c r="J72" s="280">
        <v>2.5000000000000001E-2</v>
      </c>
      <c r="K72" s="279">
        <f>D86*0.024</f>
        <v>11779.608</v>
      </c>
      <c r="L72" s="280">
        <v>2.4E-2</v>
      </c>
      <c r="M72" s="279">
        <f>E86*0.025</f>
        <v>11413.775000000001</v>
      </c>
      <c r="N72" s="281">
        <v>2.5000000000000001E-2</v>
      </c>
      <c r="O72">
        <f t="shared" si="12"/>
        <v>0.48191515862895945</v>
      </c>
    </row>
    <row r="73" spans="1:24" ht="15" x14ac:dyDescent="0.25">
      <c r="A73" s="225"/>
      <c r="B73" s="2" t="s">
        <v>88</v>
      </c>
      <c r="C73" s="278">
        <v>19424</v>
      </c>
      <c r="D73" s="250">
        <v>3.7600000000000001E-2</v>
      </c>
      <c r="E73" s="251">
        <v>11655</v>
      </c>
      <c r="F73" s="250">
        <v>2.2599999999999999E-2</v>
      </c>
      <c r="G73" s="251">
        <v>7770</v>
      </c>
      <c r="H73" s="250">
        <v>1.4999999999999999E-2</v>
      </c>
      <c r="I73" s="279">
        <f>F86*0.065</f>
        <v>61578.920000000006</v>
      </c>
      <c r="J73" s="280">
        <v>6.5000000000000002E-2</v>
      </c>
      <c r="K73" s="279">
        <f>D86*0.052</f>
        <v>25522.484</v>
      </c>
      <c r="L73" s="280">
        <v>5.1999999999999998E-2</v>
      </c>
      <c r="M73" s="279">
        <f>E86*0.065</f>
        <v>29675.815000000002</v>
      </c>
      <c r="N73" s="281">
        <v>6.5000000000000002E-2</v>
      </c>
      <c r="O73">
        <f t="shared" si="12"/>
        <v>0.48191515862895939</v>
      </c>
    </row>
    <row r="74" spans="1:24" x14ac:dyDescent="0.2">
      <c r="A74" s="225"/>
      <c r="C74" s="271"/>
      <c r="D74" s="272"/>
      <c r="E74" s="273"/>
      <c r="F74" s="272"/>
      <c r="G74" s="273"/>
      <c r="H74" s="272"/>
      <c r="I74" s="284"/>
      <c r="J74" s="275"/>
      <c r="K74" s="285"/>
      <c r="L74" s="275"/>
      <c r="M74" s="285"/>
      <c r="N74" s="275"/>
    </row>
    <row r="75" spans="1:24" x14ac:dyDescent="0.2">
      <c r="A75" s="225"/>
      <c r="B75" s="270"/>
      <c r="C75" s="271"/>
      <c r="D75" s="272"/>
      <c r="E75" s="273"/>
      <c r="F75" s="272"/>
      <c r="G75" s="273"/>
      <c r="H75" s="272"/>
      <c r="I75" s="284"/>
      <c r="J75" s="275"/>
      <c r="K75" s="285"/>
      <c r="L75" s="275"/>
      <c r="M75" s="285"/>
      <c r="N75" s="275"/>
    </row>
    <row r="76" spans="1:24" x14ac:dyDescent="0.2">
      <c r="A76" s="225"/>
      <c r="B76" s="225"/>
      <c r="C76" s="271"/>
      <c r="D76" s="272"/>
      <c r="E76" s="273"/>
      <c r="F76" s="272"/>
      <c r="G76" s="273"/>
      <c r="H76" s="272"/>
      <c r="I76" s="284"/>
      <c r="J76" s="275"/>
      <c r="K76" s="285"/>
      <c r="L76" s="275"/>
      <c r="M76" s="285"/>
      <c r="N76" s="275"/>
      <c r="O76" s="273"/>
      <c r="P76" s="286"/>
      <c r="Q76" s="273"/>
      <c r="R76" s="286"/>
      <c r="S76" s="273"/>
      <c r="T76" s="286"/>
      <c r="U76" s="270"/>
      <c r="V76" s="270"/>
      <c r="W76" s="270"/>
      <c r="X76" s="270"/>
    </row>
    <row r="77" spans="1:24" x14ac:dyDescent="0.2">
      <c r="C77" s="242" t="s">
        <v>742</v>
      </c>
      <c r="D77" s="276"/>
      <c r="E77" s="276"/>
      <c r="F77" s="276"/>
      <c r="G77" s="276"/>
      <c r="H77" s="276"/>
      <c r="I77" s="276"/>
      <c r="J77" s="287"/>
      <c r="K77" s="272"/>
      <c r="L77" s="275"/>
      <c r="M77" s="285"/>
      <c r="N77" s="275"/>
      <c r="O77" s="273"/>
      <c r="P77" s="286"/>
      <c r="Q77" s="273"/>
      <c r="R77" s="286"/>
      <c r="S77" s="273"/>
      <c r="T77" s="286"/>
      <c r="U77" s="270"/>
      <c r="V77" s="270"/>
      <c r="W77" s="270"/>
      <c r="X77" s="270"/>
    </row>
    <row r="78" spans="1:24" x14ac:dyDescent="0.2">
      <c r="C78" s="227"/>
      <c r="D78" s="2485" t="s">
        <v>725</v>
      </c>
      <c r="E78" s="2486"/>
      <c r="F78" s="2486"/>
      <c r="G78" s="2487"/>
      <c r="H78" s="2485" t="s">
        <v>726</v>
      </c>
      <c r="I78" s="2486"/>
      <c r="J78" s="2486"/>
      <c r="K78" s="2487"/>
      <c r="L78" s="275"/>
      <c r="M78" s="288" t="s">
        <v>743</v>
      </c>
      <c r="N78" s="289"/>
      <c r="O78" s="289"/>
      <c r="P78" s="289"/>
      <c r="Q78" s="289"/>
      <c r="R78" s="289"/>
      <c r="S78" s="276"/>
      <c r="T78" s="276"/>
      <c r="U78" s="276"/>
      <c r="V78" s="276"/>
      <c r="W78" s="276"/>
      <c r="X78" s="270"/>
    </row>
    <row r="79" spans="1:24" x14ac:dyDescent="0.2">
      <c r="C79" s="227" t="s">
        <v>221</v>
      </c>
      <c r="D79" s="228" t="s">
        <v>48</v>
      </c>
      <c r="E79" s="228" t="s">
        <v>47</v>
      </c>
      <c r="F79" s="228" t="s">
        <v>709</v>
      </c>
      <c r="G79" s="229" t="s">
        <v>727</v>
      </c>
      <c r="H79" s="229" t="s">
        <v>48</v>
      </c>
      <c r="I79" s="229" t="s">
        <v>47</v>
      </c>
      <c r="J79" s="229" t="s">
        <v>709</v>
      </c>
      <c r="K79" s="230" t="s">
        <v>727</v>
      </c>
      <c r="L79" s="275"/>
      <c r="M79" s="288" t="s">
        <v>744</v>
      </c>
      <c r="N79" s="288"/>
      <c r="O79" s="289"/>
      <c r="P79" s="289"/>
      <c r="Q79" s="289"/>
      <c r="R79" s="289"/>
      <c r="S79" s="276"/>
      <c r="T79" s="276"/>
      <c r="U79" s="276"/>
      <c r="V79" s="276"/>
      <c r="W79" s="276"/>
      <c r="X79" s="270"/>
    </row>
    <row r="80" spans="1:24" ht="15.75" x14ac:dyDescent="0.25">
      <c r="C80" s="231" t="s">
        <v>547</v>
      </c>
      <c r="D80" s="232">
        <v>15544</v>
      </c>
      <c r="E80" s="232">
        <v>15348</v>
      </c>
      <c r="F80" s="232">
        <v>30892</v>
      </c>
      <c r="G80" s="233">
        <f t="shared" ref="G80:G85" si="13">D80/F80</f>
        <v>0.50317234235400754</v>
      </c>
      <c r="H80" s="232">
        <v>16066</v>
      </c>
      <c r="I80" s="232">
        <v>15604</v>
      </c>
      <c r="J80" s="232">
        <v>31670</v>
      </c>
      <c r="K80" s="234">
        <f t="shared" ref="K80:K85" si="14">H80/J80</f>
        <v>0.50729396905588886</v>
      </c>
      <c r="L80" s="275"/>
      <c r="M80" s="290"/>
      <c r="N80" s="291"/>
      <c r="O80" s="291"/>
      <c r="P80" s="291"/>
      <c r="Q80" s="291"/>
      <c r="R80" s="291"/>
      <c r="S80" s="276"/>
      <c r="T80" s="276"/>
      <c r="U80" s="276"/>
      <c r="V80" s="276"/>
      <c r="W80" s="276"/>
      <c r="X80" s="276"/>
    </row>
    <row r="81" spans="3:24" ht="15.75" x14ac:dyDescent="0.25">
      <c r="C81" s="235" t="s">
        <v>548</v>
      </c>
      <c r="D81" s="236">
        <v>55143</v>
      </c>
      <c r="E81" s="236">
        <v>41954</v>
      </c>
      <c r="F81" s="236">
        <v>97097</v>
      </c>
      <c r="G81" s="237">
        <f t="shared" si="13"/>
        <v>0.5679166194630112</v>
      </c>
      <c r="H81" s="236">
        <v>53108</v>
      </c>
      <c r="I81" s="236">
        <v>40388</v>
      </c>
      <c r="J81" s="236">
        <v>93496</v>
      </c>
      <c r="K81" s="237">
        <f t="shared" si="14"/>
        <v>0.56802430050483443</v>
      </c>
      <c r="L81" s="275"/>
      <c r="M81" s="292" t="s">
        <v>745</v>
      </c>
      <c r="N81" s="293"/>
      <c r="O81" s="293"/>
      <c r="R81" s="291"/>
      <c r="S81" s="276"/>
      <c r="T81" s="276"/>
      <c r="U81" s="276"/>
      <c r="V81" s="276"/>
      <c r="W81" s="276"/>
      <c r="X81" s="276"/>
    </row>
    <row r="82" spans="3:24" ht="15.75" x14ac:dyDescent="0.25">
      <c r="C82" s="235" t="s">
        <v>549</v>
      </c>
      <c r="D82" s="236">
        <v>119343</v>
      </c>
      <c r="E82" s="236">
        <v>103165</v>
      </c>
      <c r="F82" s="236">
        <v>222508</v>
      </c>
      <c r="G82" s="237">
        <f t="shared" si="13"/>
        <v>0.53635374907868483</v>
      </c>
      <c r="H82" s="236">
        <v>97021</v>
      </c>
      <c r="I82" s="236">
        <v>85438</v>
      </c>
      <c r="J82" s="236">
        <v>182459</v>
      </c>
      <c r="K82" s="237">
        <f t="shared" si="14"/>
        <v>0.53174137751494854</v>
      </c>
      <c r="L82" s="275"/>
      <c r="M82" t="s">
        <v>746</v>
      </c>
      <c r="R82" s="291"/>
      <c r="S82" s="276"/>
      <c r="T82" s="276"/>
      <c r="U82" s="276"/>
      <c r="V82" s="276"/>
      <c r="W82" s="276"/>
      <c r="X82" s="276"/>
    </row>
    <row r="83" spans="3:24" ht="15.75" x14ac:dyDescent="0.25">
      <c r="C83" s="235" t="s">
        <v>573</v>
      </c>
      <c r="D83" s="236">
        <v>253514</v>
      </c>
      <c r="E83" s="236">
        <v>249364</v>
      </c>
      <c r="F83" s="236">
        <v>502878</v>
      </c>
      <c r="G83" s="237">
        <f t="shared" si="13"/>
        <v>0.50412624930897754</v>
      </c>
      <c r="H83" s="236">
        <v>191315</v>
      </c>
      <c r="I83" s="236">
        <v>189694</v>
      </c>
      <c r="J83" s="236">
        <v>381009</v>
      </c>
      <c r="K83" s="237">
        <f t="shared" si="14"/>
        <v>0.50212724633801298</v>
      </c>
      <c r="L83" s="275"/>
      <c r="M83" s="290" t="s">
        <v>747</v>
      </c>
      <c r="N83" s="291"/>
      <c r="O83" s="291"/>
      <c r="P83" s="291"/>
      <c r="Q83" s="291"/>
      <c r="R83" s="291"/>
      <c r="S83" s="276"/>
      <c r="T83" s="276"/>
      <c r="U83" s="276"/>
      <c r="V83" s="276"/>
      <c r="W83" s="276"/>
      <c r="X83" s="276"/>
    </row>
    <row r="84" spans="3:24" ht="15.75" x14ac:dyDescent="0.25">
      <c r="C84" s="235" t="s">
        <v>552</v>
      </c>
      <c r="D84" s="236">
        <v>18597</v>
      </c>
      <c r="E84" s="236">
        <v>17101</v>
      </c>
      <c r="F84" s="236">
        <v>35698</v>
      </c>
      <c r="G84" s="233">
        <f t="shared" si="13"/>
        <v>0.52095355482099837</v>
      </c>
      <c r="H84" s="236">
        <v>16683</v>
      </c>
      <c r="I84" s="236">
        <v>15050</v>
      </c>
      <c r="J84" s="236">
        <v>31733</v>
      </c>
      <c r="K84" s="237">
        <f t="shared" si="14"/>
        <v>0.52573031229319633</v>
      </c>
      <c r="L84" s="275"/>
      <c r="M84" s="285"/>
      <c r="N84" s="275"/>
      <c r="O84" s="273"/>
      <c r="P84" s="286"/>
      <c r="Q84" s="273"/>
      <c r="R84" s="286"/>
      <c r="S84" s="273"/>
      <c r="T84" s="286"/>
      <c r="U84" s="270"/>
      <c r="V84" s="276"/>
      <c r="W84" s="276"/>
      <c r="X84" s="276"/>
    </row>
    <row r="85" spans="3:24" ht="15.75" x14ac:dyDescent="0.25">
      <c r="C85" s="235" t="s">
        <v>553</v>
      </c>
      <c r="D85" s="236">
        <v>28676</v>
      </c>
      <c r="E85" s="236">
        <v>29619</v>
      </c>
      <c r="F85" s="236">
        <v>58295</v>
      </c>
      <c r="G85" s="233">
        <f t="shared" si="13"/>
        <v>0.49191182777253623</v>
      </c>
      <c r="H85" s="236">
        <v>34557</v>
      </c>
      <c r="I85" s="236">
        <v>35812</v>
      </c>
      <c r="J85" s="236">
        <v>70369</v>
      </c>
      <c r="K85" s="237">
        <f t="shared" si="14"/>
        <v>0.49108272108456846</v>
      </c>
      <c r="L85" s="275"/>
      <c r="M85" s="285"/>
      <c r="N85" s="275"/>
      <c r="O85" s="273"/>
      <c r="P85" s="286"/>
      <c r="Q85" s="273"/>
      <c r="R85" s="286"/>
      <c r="S85" s="273"/>
      <c r="T85" s="286"/>
      <c r="U85" s="270"/>
      <c r="V85" s="276"/>
      <c r="W85" s="276"/>
      <c r="X85" s="276"/>
    </row>
    <row r="86" spans="3:24" x14ac:dyDescent="0.2">
      <c r="C86" s="238" t="s">
        <v>719</v>
      </c>
      <c r="D86" s="239">
        <f>SUM(D80:D85)</f>
        <v>490817</v>
      </c>
      <c r="E86" s="239">
        <f>SUM(E80:E85)</f>
        <v>456551</v>
      </c>
      <c r="F86" s="239">
        <f>SUM(F80:F85)</f>
        <v>947368</v>
      </c>
      <c r="G86" s="238"/>
      <c r="H86" s="239">
        <f>SUM(H80:H85)</f>
        <v>408750</v>
      </c>
      <c r="I86" s="239">
        <f>SUM(I80:I85)</f>
        <v>381986</v>
      </c>
      <c r="J86" s="240">
        <f>SUM(J80:J85)</f>
        <v>790736</v>
      </c>
      <c r="K86" s="241"/>
      <c r="L86" s="275"/>
      <c r="M86" s="285"/>
      <c r="N86" s="275"/>
      <c r="O86" s="273"/>
      <c r="P86" s="286"/>
      <c r="Q86" s="273"/>
      <c r="R86" s="286"/>
      <c r="S86" s="273"/>
      <c r="T86" s="286"/>
      <c r="U86" s="270"/>
      <c r="V86" s="276"/>
      <c r="W86" s="276"/>
      <c r="X86" s="276"/>
    </row>
  </sheetData>
  <mergeCells count="65">
    <mergeCell ref="D78:G78"/>
    <mergeCell ref="H78:K78"/>
    <mergeCell ref="C66:N66"/>
    <mergeCell ref="C67:H67"/>
    <mergeCell ref="I67:N67"/>
    <mergeCell ref="C68:D68"/>
    <mergeCell ref="E68:F68"/>
    <mergeCell ref="G68:H68"/>
    <mergeCell ref="I68:J68"/>
    <mergeCell ref="K68:L68"/>
    <mergeCell ref="M68:N68"/>
    <mergeCell ref="C53:N53"/>
    <mergeCell ref="C54:H54"/>
    <mergeCell ref="I54:N54"/>
    <mergeCell ref="C55:D55"/>
    <mergeCell ref="E55:F55"/>
    <mergeCell ref="G55:H55"/>
    <mergeCell ref="I55:J55"/>
    <mergeCell ref="K55:L55"/>
    <mergeCell ref="M55:N55"/>
    <mergeCell ref="C43:N43"/>
    <mergeCell ref="C44:H44"/>
    <mergeCell ref="I44:N44"/>
    <mergeCell ref="C45:D45"/>
    <mergeCell ref="E45:F45"/>
    <mergeCell ref="G45:H45"/>
    <mergeCell ref="I45:J45"/>
    <mergeCell ref="K45:L45"/>
    <mergeCell ref="M45:N45"/>
    <mergeCell ref="C33:N33"/>
    <mergeCell ref="C34:H34"/>
    <mergeCell ref="I34:N34"/>
    <mergeCell ref="C35:D35"/>
    <mergeCell ref="E35:F35"/>
    <mergeCell ref="G35:H35"/>
    <mergeCell ref="I35:J35"/>
    <mergeCell ref="K35:L35"/>
    <mergeCell ref="M35:N35"/>
    <mergeCell ref="C23:N23"/>
    <mergeCell ref="C24:H24"/>
    <mergeCell ref="I24:N24"/>
    <mergeCell ref="C25:D25"/>
    <mergeCell ref="E25:F25"/>
    <mergeCell ref="G25:H25"/>
    <mergeCell ref="I25:J25"/>
    <mergeCell ref="K25:L25"/>
    <mergeCell ref="M25:N25"/>
    <mergeCell ref="C13:N13"/>
    <mergeCell ref="C14:H14"/>
    <mergeCell ref="I14:N14"/>
    <mergeCell ref="C15:D15"/>
    <mergeCell ref="E15:F15"/>
    <mergeCell ref="G15:H15"/>
    <mergeCell ref="I15:J15"/>
    <mergeCell ref="K15:L15"/>
    <mergeCell ref="M15:N15"/>
    <mergeCell ref="C3:N3"/>
    <mergeCell ref="C4:H4"/>
    <mergeCell ref="I4:N4"/>
    <mergeCell ref="C5:D5"/>
    <mergeCell ref="E5:F5"/>
    <mergeCell ref="G5:H5"/>
    <mergeCell ref="I5:J5"/>
    <mergeCell ref="K5:L5"/>
    <mergeCell ref="M5:N5"/>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topLeftCell="A10" zoomScale="115" zoomScaleNormal="115" zoomScalePageLayoutView="115" workbookViewId="0">
      <selection activeCell="M24" sqref="M24"/>
    </sheetView>
  </sheetViews>
  <sheetFormatPr defaultColWidth="10.140625" defaultRowHeight="12.75" x14ac:dyDescent="0.2"/>
  <cols>
    <col min="1" max="5" width="10.140625" style="644"/>
    <col min="6" max="6" width="14.140625" style="644" customWidth="1"/>
    <col min="7" max="7" width="10.140625" style="644"/>
    <col min="8" max="8" width="14.85546875" style="644" customWidth="1"/>
    <col min="9" max="9" width="13.42578125" style="644" customWidth="1"/>
    <col min="10" max="11" width="10.140625" style="644"/>
    <col min="12" max="12" width="14.28515625" style="644" bestFit="1" customWidth="1"/>
    <col min="13" max="13" width="10.140625" style="644" customWidth="1"/>
    <col min="14" max="14" width="10.140625" style="644"/>
    <col min="15" max="16" width="13.140625" style="644" bestFit="1" customWidth="1"/>
    <col min="17" max="17" width="15.42578125" style="644" bestFit="1" customWidth="1"/>
    <col min="18" max="18" width="15" style="644" bestFit="1" customWidth="1"/>
    <col min="19" max="21" width="13.140625" style="644" bestFit="1" customWidth="1"/>
    <col min="22" max="16384" width="10.140625" style="644"/>
  </cols>
  <sheetData>
    <row r="1" spans="1:22" x14ac:dyDescent="0.2">
      <c r="A1" s="642" t="s">
        <v>1223</v>
      </c>
      <c r="B1" s="642"/>
      <c r="C1" s="642"/>
      <c r="D1" s="642"/>
      <c r="E1" s="642"/>
      <c r="F1" s="642"/>
      <c r="G1" s="643"/>
      <c r="H1" s="643"/>
      <c r="I1" s="643"/>
      <c r="J1" s="643"/>
      <c r="K1" s="643"/>
      <c r="L1" s="643"/>
    </row>
    <row r="2" spans="1:22" ht="13.5" thickBot="1" x14ac:dyDescent="0.25">
      <c r="A2" s="643"/>
      <c r="B2" s="643"/>
      <c r="C2" s="643"/>
      <c r="D2" s="643"/>
      <c r="E2" s="643"/>
      <c r="F2" s="643"/>
      <c r="G2" s="643"/>
      <c r="H2" s="643"/>
      <c r="I2" s="643"/>
      <c r="J2" s="643"/>
      <c r="K2" s="643"/>
      <c r="L2" s="643"/>
    </row>
    <row r="3" spans="1:22" ht="13.5" thickTop="1" x14ac:dyDescent="0.2">
      <c r="A3" s="2494"/>
      <c r="B3" s="2495"/>
      <c r="C3" s="2497" t="s">
        <v>748</v>
      </c>
      <c r="D3" s="2497" t="s">
        <v>749</v>
      </c>
      <c r="E3" s="2497" t="s">
        <v>750</v>
      </c>
      <c r="F3" s="2499">
        <v>2016</v>
      </c>
      <c r="G3" s="2500"/>
      <c r="H3" s="2500"/>
      <c r="I3" s="2500"/>
      <c r="J3" s="2500"/>
      <c r="K3" s="2500"/>
      <c r="L3" s="2500"/>
    </row>
    <row r="4" spans="1:22" ht="25.5" x14ac:dyDescent="0.2">
      <c r="A4" s="2492"/>
      <c r="B4" s="2496"/>
      <c r="C4" s="2498"/>
      <c r="D4" s="2498"/>
      <c r="E4" s="2498"/>
      <c r="F4" s="645" t="s">
        <v>567</v>
      </c>
      <c r="G4" s="646" t="s">
        <v>751</v>
      </c>
      <c r="H4" s="645" t="s">
        <v>752</v>
      </c>
      <c r="I4" s="647" t="s">
        <v>753</v>
      </c>
      <c r="J4" s="647" t="s">
        <v>754</v>
      </c>
      <c r="K4" s="647" t="s">
        <v>755</v>
      </c>
      <c r="L4" s="648" t="s">
        <v>753</v>
      </c>
      <c r="N4" s="242" t="s">
        <v>742</v>
      </c>
      <c r="O4" s="276"/>
      <c r="P4" s="276"/>
      <c r="Q4" s="276"/>
      <c r="R4" s="276"/>
      <c r="S4" s="276"/>
      <c r="T4" s="276"/>
      <c r="U4" s="287"/>
      <c r="V4" s="272"/>
    </row>
    <row r="5" spans="1:22" x14ac:dyDescent="0.2">
      <c r="A5" s="2501" t="s">
        <v>721</v>
      </c>
      <c r="B5" s="647" t="s">
        <v>547</v>
      </c>
      <c r="C5" s="649">
        <v>0.442</v>
      </c>
      <c r="D5" s="649">
        <v>0.10100000000000001</v>
      </c>
      <c r="E5" s="650">
        <v>0.4</v>
      </c>
      <c r="F5" s="651">
        <v>1223</v>
      </c>
      <c r="G5" s="652">
        <v>25.26</v>
      </c>
      <c r="H5" s="652">
        <f>F5*G5</f>
        <v>30892.980000000003</v>
      </c>
      <c r="I5" s="652">
        <f>E5*H5</f>
        <v>12357.192000000003</v>
      </c>
      <c r="J5" s="653">
        <v>0.15</v>
      </c>
      <c r="K5" s="652">
        <f>J5*I5</f>
        <v>1853.5788000000002</v>
      </c>
      <c r="L5" s="654">
        <f>I5-K5</f>
        <v>10503.613200000003</v>
      </c>
      <c r="N5" s="227"/>
      <c r="O5" s="2485" t="s">
        <v>725</v>
      </c>
      <c r="P5" s="2486"/>
      <c r="Q5" s="2486"/>
      <c r="R5" s="2487"/>
      <c r="S5" s="2485" t="s">
        <v>726</v>
      </c>
      <c r="T5" s="2486"/>
      <c r="U5" s="2486"/>
      <c r="V5" s="2487"/>
    </row>
    <row r="6" spans="1:22" x14ac:dyDescent="0.2">
      <c r="A6" s="2501"/>
      <c r="B6" s="647" t="s">
        <v>548</v>
      </c>
      <c r="C6" s="655">
        <v>0</v>
      </c>
      <c r="D6" s="655">
        <v>0</v>
      </c>
      <c r="E6" s="660">
        <v>0.05</v>
      </c>
      <c r="F6" s="651">
        <v>2036</v>
      </c>
      <c r="G6" s="652">
        <v>48.62</v>
      </c>
      <c r="H6" s="652">
        <f t="shared" ref="H6:H11" si="0">F6*G6</f>
        <v>98990.319999999992</v>
      </c>
      <c r="I6" s="652">
        <f t="shared" ref="I6:I11" si="1">E6*H6</f>
        <v>4949.5159999999996</v>
      </c>
      <c r="J6" s="656">
        <v>0.15</v>
      </c>
      <c r="K6" s="652">
        <f t="shared" ref="K6:K7" si="2">J6*I6</f>
        <v>742.42739999999992</v>
      </c>
      <c r="L6" s="654">
        <f t="shared" ref="L6:L7" si="3">I6-K6</f>
        <v>4207.0886</v>
      </c>
      <c r="N6" s="227" t="s">
        <v>221</v>
      </c>
      <c r="O6" s="228" t="s">
        <v>48</v>
      </c>
      <c r="P6" s="228" t="s">
        <v>47</v>
      </c>
      <c r="Q6" s="228" t="s">
        <v>709</v>
      </c>
      <c r="R6" s="229" t="s">
        <v>727</v>
      </c>
      <c r="S6" s="229" t="s">
        <v>48</v>
      </c>
      <c r="T6" s="229" t="s">
        <v>47</v>
      </c>
      <c r="U6" s="229" t="s">
        <v>709</v>
      </c>
      <c r="V6" s="230" t="s">
        <v>727</v>
      </c>
    </row>
    <row r="7" spans="1:22" ht="15.75" x14ac:dyDescent="0.25">
      <c r="A7" s="2501"/>
      <c r="B7" s="647" t="s">
        <v>549</v>
      </c>
      <c r="C7" s="655">
        <v>7.0000000000000001E-3</v>
      </c>
      <c r="D7" s="655">
        <v>1.4999999999999999E-2</v>
      </c>
      <c r="E7" s="649">
        <v>0.05</v>
      </c>
      <c r="F7" s="651">
        <v>3800</v>
      </c>
      <c r="G7" s="652">
        <v>52.26</v>
      </c>
      <c r="H7" s="652">
        <f t="shared" si="0"/>
        <v>198588</v>
      </c>
      <c r="I7" s="652">
        <f t="shared" si="1"/>
        <v>9929.4000000000015</v>
      </c>
      <c r="J7" s="656">
        <v>0.15</v>
      </c>
      <c r="K7" s="652">
        <f t="shared" si="2"/>
        <v>1489.41</v>
      </c>
      <c r="L7" s="654">
        <f t="shared" si="3"/>
        <v>8439.9900000000016</v>
      </c>
      <c r="N7" s="1210" t="s">
        <v>547</v>
      </c>
      <c r="O7" s="1211">
        <v>15544</v>
      </c>
      <c r="P7" s="1211">
        <v>15348</v>
      </c>
      <c r="Q7" s="1211">
        <v>30892</v>
      </c>
      <c r="R7" s="1212">
        <f t="shared" ref="R7:R13" si="4">O7/Q7</f>
        <v>0.50317234235400754</v>
      </c>
      <c r="S7" s="1211">
        <v>16066</v>
      </c>
      <c r="T7" s="1211">
        <v>15604</v>
      </c>
      <c r="U7" s="1211">
        <v>31670</v>
      </c>
      <c r="V7" s="1212">
        <f t="shared" ref="V7:V13" si="5">S7/U7</f>
        <v>0.50729396905588886</v>
      </c>
    </row>
    <row r="8" spans="1:22" ht="15.75" x14ac:dyDescent="0.25">
      <c r="A8" s="2501"/>
      <c r="B8" s="647"/>
      <c r="C8" s="657"/>
      <c r="D8" s="657"/>
      <c r="E8" s="657"/>
      <c r="F8" s="657"/>
      <c r="G8" s="657"/>
      <c r="H8" s="657"/>
      <c r="I8" s="652"/>
      <c r="J8" s="657"/>
      <c r="K8" s="657"/>
      <c r="L8" s="658"/>
      <c r="N8" s="1213" t="s">
        <v>548</v>
      </c>
      <c r="O8" s="1214">
        <v>55143</v>
      </c>
      <c r="P8" s="1214">
        <v>41954</v>
      </c>
      <c r="Q8" s="1214">
        <v>97097</v>
      </c>
      <c r="R8" s="1215">
        <f t="shared" si="4"/>
        <v>0.5679166194630112</v>
      </c>
      <c r="S8" s="1214">
        <v>53108</v>
      </c>
      <c r="T8" s="1214">
        <v>40388</v>
      </c>
      <c r="U8" s="1214">
        <v>93496</v>
      </c>
      <c r="V8" s="1215">
        <f t="shared" si="5"/>
        <v>0.56802430050483443</v>
      </c>
    </row>
    <row r="9" spans="1:22" ht="15.75" x14ac:dyDescent="0.25">
      <c r="A9" s="2501"/>
      <c r="B9" s="647" t="s">
        <v>553</v>
      </c>
      <c r="C9" s="667"/>
      <c r="D9" s="655">
        <v>0.14499999999999999</v>
      </c>
      <c r="E9" s="655">
        <v>0.2</v>
      </c>
      <c r="F9" s="651">
        <v>1007</v>
      </c>
      <c r="G9" s="652">
        <v>57.89</v>
      </c>
      <c r="H9" s="652">
        <f t="shared" si="0"/>
        <v>58295.23</v>
      </c>
      <c r="I9" s="652">
        <f t="shared" si="1"/>
        <v>11659.046000000002</v>
      </c>
      <c r="J9" s="656">
        <v>0.15</v>
      </c>
      <c r="K9" s="652">
        <f t="shared" ref="K9:K10" si="6">J9*I9</f>
        <v>1748.8569000000002</v>
      </c>
      <c r="L9" s="654">
        <f t="shared" ref="L9:L10" si="7">I9-K9</f>
        <v>9910.1891000000014</v>
      </c>
      <c r="N9" s="1213" t="s">
        <v>549</v>
      </c>
      <c r="O9" s="1214">
        <v>119343</v>
      </c>
      <c r="P9" s="1214">
        <v>103165</v>
      </c>
      <c r="Q9" s="1214">
        <v>222508</v>
      </c>
      <c r="R9" s="1215">
        <f t="shared" si="4"/>
        <v>0.53635374907868483</v>
      </c>
      <c r="S9" s="1214">
        <v>97021</v>
      </c>
      <c r="T9" s="1214">
        <v>85438</v>
      </c>
      <c r="U9" s="1214">
        <v>182459</v>
      </c>
      <c r="V9" s="1215">
        <f t="shared" si="5"/>
        <v>0.53174137751494854</v>
      </c>
    </row>
    <row r="10" spans="1:22" ht="15.75" x14ac:dyDescent="0.25">
      <c r="A10" s="2501"/>
      <c r="B10" s="647" t="s">
        <v>573</v>
      </c>
      <c r="C10" s="667"/>
      <c r="D10" s="655">
        <v>1.4999999999999999E-2</v>
      </c>
      <c r="E10" s="655">
        <v>0.05</v>
      </c>
      <c r="F10" s="651">
        <v>5492</v>
      </c>
      <c r="G10" s="652">
        <v>87.73</v>
      </c>
      <c r="H10" s="652">
        <f t="shared" si="0"/>
        <v>481813.16000000003</v>
      </c>
      <c r="I10" s="652">
        <f t="shared" si="1"/>
        <v>24090.658000000003</v>
      </c>
      <c r="J10" s="656">
        <v>0.15</v>
      </c>
      <c r="K10" s="652">
        <f t="shared" si="6"/>
        <v>3613.5987000000005</v>
      </c>
      <c r="L10" s="654">
        <f t="shared" si="7"/>
        <v>20477.059300000001</v>
      </c>
      <c r="N10" s="1213" t="s">
        <v>573</v>
      </c>
      <c r="O10" s="1214">
        <v>253514</v>
      </c>
      <c r="P10" s="1214">
        <v>249364</v>
      </c>
      <c r="Q10" s="1214">
        <v>502878</v>
      </c>
      <c r="R10" s="1215">
        <f t="shared" si="4"/>
        <v>0.50412624930897754</v>
      </c>
      <c r="S10" s="1214">
        <v>191315</v>
      </c>
      <c r="T10" s="1214">
        <v>189694</v>
      </c>
      <c r="U10" s="1214">
        <v>381009</v>
      </c>
      <c r="V10" s="1215">
        <f t="shared" si="5"/>
        <v>0.50212724633801298</v>
      </c>
    </row>
    <row r="11" spans="1:22" ht="15.75" x14ac:dyDescent="0.25">
      <c r="A11" s="2501"/>
      <c r="B11" s="647" t="s">
        <v>552</v>
      </c>
      <c r="C11" s="667"/>
      <c r="D11" s="655">
        <v>4.0000000000000001E-3</v>
      </c>
      <c r="E11" s="655">
        <v>0.05</v>
      </c>
      <c r="F11" s="651">
        <v>1754</v>
      </c>
      <c r="G11" s="652">
        <v>23.85</v>
      </c>
      <c r="H11" s="652">
        <f t="shared" si="0"/>
        <v>41832.9</v>
      </c>
      <c r="I11" s="652">
        <f t="shared" si="1"/>
        <v>2091.645</v>
      </c>
      <c r="J11" s="656">
        <v>0.15</v>
      </c>
      <c r="K11" s="652">
        <f>J11*I11</f>
        <v>313.74674999999996</v>
      </c>
      <c r="L11" s="654">
        <f>I11-K11</f>
        <v>1777.89825</v>
      </c>
      <c r="N11" s="1213" t="s">
        <v>552</v>
      </c>
      <c r="O11" s="1214">
        <v>18597</v>
      </c>
      <c r="P11" s="1214">
        <v>17101</v>
      </c>
      <c r="Q11" s="1214">
        <v>35698</v>
      </c>
      <c r="R11" s="1212">
        <f t="shared" si="4"/>
        <v>0.52095355482099837</v>
      </c>
      <c r="S11" s="1214">
        <v>16683</v>
      </c>
      <c r="T11" s="1214">
        <v>15050</v>
      </c>
      <c r="U11" s="1214">
        <v>31733</v>
      </c>
      <c r="V11" s="1215">
        <f t="shared" si="5"/>
        <v>0.52573031229319633</v>
      </c>
    </row>
    <row r="12" spans="1:22" ht="15.75" x14ac:dyDescent="0.25">
      <c r="A12" s="2501"/>
      <c r="B12" s="647"/>
      <c r="C12" s="657"/>
      <c r="D12" s="657"/>
      <c r="E12" s="657"/>
      <c r="F12" s="657"/>
      <c r="G12" s="657"/>
      <c r="H12" s="657"/>
      <c r="I12" s="652"/>
      <c r="J12" s="657"/>
      <c r="K12" s="657"/>
      <c r="L12" s="658"/>
      <c r="N12" s="1213" t="s">
        <v>553</v>
      </c>
      <c r="O12" s="1214">
        <v>28676</v>
      </c>
      <c r="P12" s="1214">
        <v>29619</v>
      </c>
      <c r="Q12" s="1214">
        <v>58295</v>
      </c>
      <c r="R12" s="1212">
        <f t="shared" si="4"/>
        <v>0.49191182777253623</v>
      </c>
      <c r="S12" s="1214">
        <v>34557</v>
      </c>
      <c r="T12" s="1214">
        <v>35812</v>
      </c>
      <c r="U12" s="1214">
        <v>70369</v>
      </c>
      <c r="V12" s="1215">
        <f t="shared" si="5"/>
        <v>0.49108272108456846</v>
      </c>
    </row>
    <row r="13" spans="1:22" x14ac:dyDescent="0.2">
      <c r="A13" s="2501"/>
      <c r="B13" s="647" t="s">
        <v>572</v>
      </c>
      <c r="C13" s="657"/>
      <c r="D13" s="657"/>
      <c r="E13" s="657"/>
      <c r="F13" s="659">
        <f>SUM(F5:F11)</f>
        <v>15312</v>
      </c>
      <c r="G13" s="657"/>
      <c r="H13" s="659">
        <f>SUM(H5:H11)</f>
        <v>910412.59</v>
      </c>
      <c r="I13" s="652"/>
      <c r="J13" s="657"/>
      <c r="K13" s="659">
        <f>SUM(K5:K11)</f>
        <v>9761.6185500000011</v>
      </c>
      <c r="L13" s="658">
        <f>SUM(L5:L11)</f>
        <v>55315.838450000003</v>
      </c>
      <c r="N13" s="238" t="s">
        <v>719</v>
      </c>
      <c r="O13" s="1216">
        <f>SUM(O7:O12)</f>
        <v>490817</v>
      </c>
      <c r="P13" s="1216">
        <f>SUM(P7:P12)</f>
        <v>456551</v>
      </c>
      <c r="Q13" s="1216">
        <f>SUM(Q7:Q12)</f>
        <v>947368</v>
      </c>
      <c r="R13" s="1212">
        <f t="shared" si="4"/>
        <v>0.51808484137104061</v>
      </c>
      <c r="S13" s="1216">
        <f>SUM(S7:S12)</f>
        <v>408750</v>
      </c>
      <c r="T13" s="1216">
        <f>SUM(T7:T12)</f>
        <v>381986</v>
      </c>
      <c r="U13" s="1217">
        <f>SUM(U7:U12)</f>
        <v>790736</v>
      </c>
      <c r="V13" s="1215">
        <f t="shared" si="5"/>
        <v>0.51692347382691572</v>
      </c>
    </row>
    <row r="14" spans="1:22" x14ac:dyDescent="0.2">
      <c r="A14" s="2490"/>
      <c r="B14" s="2491"/>
      <c r="C14" s="2491"/>
      <c r="D14" s="2491"/>
      <c r="E14" s="2491"/>
      <c r="F14" s="2491"/>
      <c r="G14" s="2491"/>
      <c r="H14" s="2491"/>
      <c r="I14" s="2491"/>
      <c r="J14" s="2491"/>
      <c r="K14" s="2491"/>
      <c r="L14" s="2491"/>
    </row>
    <row r="15" spans="1:22" x14ac:dyDescent="0.2">
      <c r="A15" s="2492"/>
      <c r="B15" s="2493"/>
      <c r="C15" s="2493"/>
      <c r="D15" s="2493"/>
      <c r="E15" s="2493"/>
      <c r="F15" s="2493"/>
      <c r="G15" s="2493"/>
      <c r="H15" s="2493"/>
      <c r="I15" s="2493"/>
      <c r="J15" s="2493"/>
      <c r="K15" s="2493"/>
      <c r="L15" s="2493"/>
    </row>
    <row r="16" spans="1:22" x14ac:dyDescent="0.2">
      <c r="A16" s="2501" t="s">
        <v>722</v>
      </c>
      <c r="B16" s="647" t="s">
        <v>547</v>
      </c>
      <c r="C16" s="649">
        <v>0.20100000000000001</v>
      </c>
      <c r="D16" s="649">
        <v>0.14099999999999999</v>
      </c>
      <c r="E16" s="649">
        <v>0.3</v>
      </c>
      <c r="F16" s="652">
        <v>1223</v>
      </c>
      <c r="G16" s="652">
        <v>25.26</v>
      </c>
      <c r="H16" s="652">
        <f>F16*G16</f>
        <v>30892.980000000003</v>
      </c>
      <c r="I16" s="652">
        <f>E16*H16</f>
        <v>9267.8940000000002</v>
      </c>
      <c r="J16" s="653">
        <v>0.15</v>
      </c>
      <c r="K16" s="652">
        <f>J16*I16</f>
        <v>1390.1840999999999</v>
      </c>
      <c r="L16" s="654">
        <f>I16-K16</f>
        <v>7877.7098999999998</v>
      </c>
    </row>
    <row r="17" spans="1:18" ht="15.75" x14ac:dyDescent="0.25">
      <c r="A17" s="2501"/>
      <c r="B17" s="647" t="s">
        <v>548</v>
      </c>
      <c r="C17" s="655">
        <v>4.0000000000000001E-3</v>
      </c>
      <c r="D17" s="655">
        <v>1.7000000000000001E-2</v>
      </c>
      <c r="E17" s="649">
        <v>0.1</v>
      </c>
      <c r="F17" s="652">
        <v>2036</v>
      </c>
      <c r="G17" s="652">
        <v>48.62</v>
      </c>
      <c r="H17" s="652">
        <f t="shared" ref="H17:H18" si="8">F17*G17</f>
        <v>98990.319999999992</v>
      </c>
      <c r="I17" s="652">
        <f t="shared" ref="I17:I22" si="9">E17*H17</f>
        <v>9899.0319999999992</v>
      </c>
      <c r="J17" s="656">
        <v>0.15</v>
      </c>
      <c r="K17" s="652">
        <f t="shared" ref="K17:K18" si="10">J17*I17</f>
        <v>1484.8547999999998</v>
      </c>
      <c r="L17" s="654">
        <f t="shared" ref="L17:L18" si="11">I17-K17</f>
        <v>8414.1772000000001</v>
      </c>
      <c r="N17"/>
      <c r="O17" s="32" t="s">
        <v>723</v>
      </c>
      <c r="P17"/>
      <c r="Q17"/>
      <c r="R17"/>
    </row>
    <row r="18" spans="1:18" x14ac:dyDescent="0.2">
      <c r="A18" s="2501"/>
      <c r="B18" s="647" t="s">
        <v>549</v>
      </c>
      <c r="C18" s="655">
        <v>7.5999999999999998E-2</v>
      </c>
      <c r="D18" s="655">
        <v>4.4999999999999998E-2</v>
      </c>
      <c r="E18" s="649">
        <v>0.15</v>
      </c>
      <c r="F18" s="652">
        <v>3800</v>
      </c>
      <c r="G18" s="652">
        <v>52.26</v>
      </c>
      <c r="H18" s="652">
        <f t="shared" si="8"/>
        <v>198588</v>
      </c>
      <c r="I18" s="652">
        <f t="shared" si="9"/>
        <v>29788.199999999997</v>
      </c>
      <c r="J18" s="656">
        <v>0.15</v>
      </c>
      <c r="K18" s="652">
        <f t="shared" si="10"/>
        <v>4468.2299999999996</v>
      </c>
      <c r="L18" s="654">
        <f t="shared" si="11"/>
        <v>25319.969999999998</v>
      </c>
      <c r="N18" s="2"/>
      <c r="O18" s="229" t="s">
        <v>753</v>
      </c>
      <c r="P18" s="229" t="s">
        <v>756</v>
      </c>
      <c r="Q18" s="229" t="s">
        <v>1221</v>
      </c>
      <c r="R18" s="229" t="s">
        <v>1222</v>
      </c>
    </row>
    <row r="19" spans="1:18" ht="15.75" x14ac:dyDescent="0.25">
      <c r="A19" s="2501"/>
      <c r="B19" s="647"/>
      <c r="C19" s="657"/>
      <c r="D19" s="657"/>
      <c r="E19" s="657"/>
      <c r="F19" s="657"/>
      <c r="G19" s="657"/>
      <c r="H19" s="657"/>
      <c r="I19" s="652"/>
      <c r="J19" s="657"/>
      <c r="K19" s="657"/>
      <c r="L19" s="658"/>
      <c r="N19" s="1210" t="s">
        <v>547</v>
      </c>
      <c r="O19" s="58">
        <f>L27</f>
        <v>3769.4083000000001</v>
      </c>
      <c r="P19" s="1218">
        <f>O19/U7</f>
        <v>0.11902141774550047</v>
      </c>
      <c r="Q19" s="119">
        <f>V7*O19</f>
        <v>1912.1980974992107</v>
      </c>
      <c r="R19" s="119">
        <f t="shared" ref="R19:R25" si="12">O19-Q19</f>
        <v>1857.2102025007894</v>
      </c>
    </row>
    <row r="20" spans="1:18" ht="15.75" x14ac:dyDescent="0.25">
      <c r="A20" s="2501"/>
      <c r="B20" s="647" t="s">
        <v>553</v>
      </c>
      <c r="C20" s="667"/>
      <c r="D20" s="655">
        <v>0.29599999999999999</v>
      </c>
      <c r="E20" s="655">
        <v>0.4</v>
      </c>
      <c r="F20" s="651">
        <v>1007</v>
      </c>
      <c r="G20" s="652">
        <v>57.89</v>
      </c>
      <c r="H20" s="652">
        <f t="shared" ref="H20:H22" si="13">F20*G20</f>
        <v>58295.23</v>
      </c>
      <c r="I20" s="652">
        <f t="shared" si="9"/>
        <v>23318.092000000004</v>
      </c>
      <c r="J20" s="656">
        <v>0.15</v>
      </c>
      <c r="K20" s="652">
        <f t="shared" ref="K20:K22" si="14">J20*I20</f>
        <v>3497.7138000000004</v>
      </c>
      <c r="L20" s="654">
        <f t="shared" ref="L20:L22" si="15">I20-K20</f>
        <v>19820.378200000003</v>
      </c>
      <c r="N20" s="1213" t="s">
        <v>548</v>
      </c>
      <c r="O20" s="58">
        <f>L28</f>
        <v>810.26692000000003</v>
      </c>
      <c r="P20" s="1218">
        <f t="shared" ref="P20:P25" si="16">O20/U8</f>
        <v>8.6663271155985287E-3</v>
      </c>
      <c r="Q20" s="119">
        <f t="shared" ref="Q20:Q25" si="17">V8*O20</f>
        <v>460.25130045520666</v>
      </c>
      <c r="R20" s="119">
        <f t="shared" si="12"/>
        <v>350.01561954479337</v>
      </c>
    </row>
    <row r="21" spans="1:18" ht="15.75" x14ac:dyDescent="0.25">
      <c r="A21" s="2501"/>
      <c r="B21" s="647" t="s">
        <v>573</v>
      </c>
      <c r="C21" s="667"/>
      <c r="D21" s="655">
        <v>4.8000000000000001E-2</v>
      </c>
      <c r="E21" s="655">
        <v>0.12</v>
      </c>
      <c r="F21" s="651">
        <v>5492</v>
      </c>
      <c r="G21" s="652">
        <v>87.73</v>
      </c>
      <c r="H21" s="652">
        <f t="shared" si="13"/>
        <v>481813.16000000003</v>
      </c>
      <c r="I21" s="652">
        <f t="shared" si="9"/>
        <v>57817.5792</v>
      </c>
      <c r="J21" s="656">
        <v>0.15</v>
      </c>
      <c r="K21" s="652">
        <f t="shared" si="14"/>
        <v>8672.63688</v>
      </c>
      <c r="L21" s="654">
        <f t="shared" si="15"/>
        <v>49144.942320000002</v>
      </c>
      <c r="N21" s="1213" t="s">
        <v>549</v>
      </c>
      <c r="O21" s="58">
        <f>L29</f>
        <v>2790.0740000000001</v>
      </c>
      <c r="P21" s="1218">
        <f t="shared" si="16"/>
        <v>1.5291512065724355E-2</v>
      </c>
      <c r="Q21" s="119">
        <f t="shared" si="17"/>
        <v>1483.5977921286426</v>
      </c>
      <c r="R21" s="119">
        <f t="shared" si="12"/>
        <v>1306.4762078713575</v>
      </c>
    </row>
    <row r="22" spans="1:18" ht="15.75" x14ac:dyDescent="0.25">
      <c r="A22" s="2501"/>
      <c r="B22" s="647" t="s">
        <v>552</v>
      </c>
      <c r="C22" s="667"/>
      <c r="D22" s="655">
        <v>4.1000000000000002E-2</v>
      </c>
      <c r="E22" s="655">
        <v>0.1</v>
      </c>
      <c r="F22" s="651">
        <v>1754</v>
      </c>
      <c r="G22" s="652">
        <v>23.85</v>
      </c>
      <c r="H22" s="652">
        <f t="shared" si="13"/>
        <v>41832.9</v>
      </c>
      <c r="I22" s="652">
        <f t="shared" si="9"/>
        <v>4183.29</v>
      </c>
      <c r="J22" s="656">
        <v>0.15</v>
      </c>
      <c r="K22" s="652">
        <f t="shared" si="14"/>
        <v>627.49349999999993</v>
      </c>
      <c r="L22" s="654">
        <f t="shared" si="15"/>
        <v>3555.7964999999999</v>
      </c>
      <c r="N22" s="1213" t="s">
        <v>573</v>
      </c>
      <c r="O22" s="58">
        <f>L32</f>
        <v>6205.9050800000005</v>
      </c>
      <c r="P22" s="1218">
        <f t="shared" si="16"/>
        <v>1.628808001910716E-2</v>
      </c>
      <c r="Q22" s="119">
        <f t="shared" si="17"/>
        <v>3116.1540288554866</v>
      </c>
      <c r="R22" s="119">
        <f t="shared" si="12"/>
        <v>3089.7510511445139</v>
      </c>
    </row>
    <row r="23" spans="1:18" ht="15.75" x14ac:dyDescent="0.25">
      <c r="A23" s="2501"/>
      <c r="B23" s="647"/>
      <c r="C23" s="657"/>
      <c r="D23" s="657"/>
      <c r="E23" s="657"/>
      <c r="F23" s="657"/>
      <c r="G23" s="657"/>
      <c r="H23" s="657"/>
      <c r="I23" s="652"/>
      <c r="J23" s="657"/>
      <c r="K23" s="657"/>
      <c r="L23" s="658"/>
      <c r="N23" s="1213" t="s">
        <v>552</v>
      </c>
      <c r="O23" s="58">
        <f>L33</f>
        <v>2212.4956000000002</v>
      </c>
      <c r="P23" s="1218">
        <f t="shared" si="16"/>
        <v>6.9722232376390511E-2</v>
      </c>
      <c r="Q23" s="119">
        <f t="shared" si="17"/>
        <v>1163.176002735323</v>
      </c>
      <c r="R23" s="119">
        <f t="shared" si="12"/>
        <v>1049.3195972646772</v>
      </c>
    </row>
    <row r="24" spans="1:18" ht="15.75" x14ac:dyDescent="0.25">
      <c r="A24" s="2501"/>
      <c r="B24" s="647" t="s">
        <v>572</v>
      </c>
      <c r="C24" s="657"/>
      <c r="D24" s="657"/>
      <c r="E24" s="657"/>
      <c r="F24" s="659">
        <f>SUM(F16:F22)</f>
        <v>15312</v>
      </c>
      <c r="G24" s="657"/>
      <c r="H24" s="659">
        <f>SUM(H16:H22)</f>
        <v>910412.59</v>
      </c>
      <c r="I24" s="652"/>
      <c r="J24" s="657"/>
      <c r="K24" s="659">
        <f>SUM(K16:K22)</f>
        <v>20141.113079999999</v>
      </c>
      <c r="L24" s="658">
        <f>SUM(L16:L22)</f>
        <v>114132.97412</v>
      </c>
      <c r="N24" s="1213" t="s">
        <v>553</v>
      </c>
      <c r="O24" s="58">
        <f>L31</f>
        <v>8972.0678999999982</v>
      </c>
      <c r="P24" s="1218">
        <f t="shared" si="16"/>
        <v>0.12750028990038226</v>
      </c>
      <c r="Q24" s="119">
        <f t="shared" si="17"/>
        <v>4406.0275180875087</v>
      </c>
      <c r="R24" s="119">
        <f t="shared" si="12"/>
        <v>4566.0403819124895</v>
      </c>
    </row>
    <row r="25" spans="1:18" x14ac:dyDescent="0.2">
      <c r="A25" s="2490"/>
      <c r="B25" s="2491"/>
      <c r="C25" s="2491"/>
      <c r="D25" s="2491"/>
      <c r="E25" s="2491"/>
      <c r="F25" s="2491"/>
      <c r="G25" s="2491"/>
      <c r="H25" s="2491"/>
      <c r="I25" s="2491"/>
      <c r="J25" s="2491"/>
      <c r="K25" s="2491"/>
      <c r="L25" s="2491"/>
      <c r="N25" s="238" t="s">
        <v>719</v>
      </c>
      <c r="O25" s="119">
        <f>SUM(O19:O24)</f>
        <v>24760.217799999999</v>
      </c>
      <c r="P25" s="1218">
        <f t="shared" si="16"/>
        <v>3.1312875346512614E-2</v>
      </c>
      <c r="Q25" s="119">
        <f t="shared" si="17"/>
        <v>12799.137797887031</v>
      </c>
      <c r="R25" s="119">
        <f t="shared" si="12"/>
        <v>11961.080002112967</v>
      </c>
    </row>
    <row r="26" spans="1:18" x14ac:dyDescent="0.2">
      <c r="A26" s="2492"/>
      <c r="B26" s="2493"/>
      <c r="C26" s="2493"/>
      <c r="D26" s="2493"/>
      <c r="E26" s="2493"/>
      <c r="F26" s="2493"/>
      <c r="G26" s="2493"/>
      <c r="H26" s="2493"/>
      <c r="I26" s="2493"/>
      <c r="J26" s="2493"/>
      <c r="K26" s="2493"/>
      <c r="L26" s="2493"/>
      <c r="N26"/>
      <c r="O26"/>
      <c r="P26"/>
      <c r="Q26"/>
      <c r="R26"/>
    </row>
    <row r="27" spans="1:18" x14ac:dyDescent="0.2">
      <c r="A27" s="2501" t="s">
        <v>723</v>
      </c>
      <c r="B27" s="647" t="s">
        <v>547</v>
      </c>
      <c r="C27" s="649">
        <v>0.122</v>
      </c>
      <c r="D27" s="649">
        <v>7.8E-2</v>
      </c>
      <c r="E27" s="649">
        <v>0.14000000000000001</v>
      </c>
      <c r="F27" s="652">
        <v>1223</v>
      </c>
      <c r="G27" s="652">
        <v>25.9</v>
      </c>
      <c r="H27" s="652">
        <f>F27*G27</f>
        <v>31675.699999999997</v>
      </c>
      <c r="I27" s="652">
        <f>E27*H27</f>
        <v>4434.598</v>
      </c>
      <c r="J27" s="653">
        <v>0.15</v>
      </c>
      <c r="K27" s="652">
        <f>J27*I27</f>
        <v>665.18970000000002</v>
      </c>
      <c r="L27" s="654">
        <f>I27-K27</f>
        <v>3769.4083000000001</v>
      </c>
      <c r="N27"/>
      <c r="O27"/>
      <c r="P27"/>
      <c r="Q27"/>
      <c r="R27"/>
    </row>
    <row r="28" spans="1:18" ht="15.75" x14ac:dyDescent="0.25">
      <c r="A28" s="2501"/>
      <c r="B28" s="647" t="s">
        <v>548</v>
      </c>
      <c r="C28" s="655">
        <v>3.0000000000000001E-3</v>
      </c>
      <c r="D28" s="655">
        <v>0</v>
      </c>
      <c r="E28" s="649">
        <v>0.01</v>
      </c>
      <c r="F28" s="652">
        <v>2036</v>
      </c>
      <c r="G28" s="652">
        <v>46.82</v>
      </c>
      <c r="H28" s="652">
        <f t="shared" ref="H28:H29" si="18">F28*G28</f>
        <v>95325.52</v>
      </c>
      <c r="I28" s="652">
        <f t="shared" ref="I28:I33" si="19">E28*H28</f>
        <v>953.25520000000006</v>
      </c>
      <c r="J28" s="656">
        <v>0.15</v>
      </c>
      <c r="K28" s="652">
        <f t="shared" ref="K28:K29" si="20">J28*I28</f>
        <v>142.98828</v>
      </c>
      <c r="L28" s="654">
        <f t="shared" ref="L28:L29" si="21">I28-K28</f>
        <v>810.26692000000003</v>
      </c>
      <c r="N28"/>
      <c r="O28" s="32" t="s">
        <v>724</v>
      </c>
      <c r="P28"/>
      <c r="Q28"/>
      <c r="R28"/>
    </row>
    <row r="29" spans="1:18" x14ac:dyDescent="0.2">
      <c r="A29" s="2501"/>
      <c r="B29" s="647" t="s">
        <v>549</v>
      </c>
      <c r="C29" s="655">
        <v>6.0000000000000001E-3</v>
      </c>
      <c r="D29" s="655">
        <v>8.0000000000000002E-3</v>
      </c>
      <c r="E29" s="649">
        <v>0.02</v>
      </c>
      <c r="F29" s="652">
        <v>3800</v>
      </c>
      <c r="G29" s="652">
        <v>43.19</v>
      </c>
      <c r="H29" s="652">
        <f t="shared" si="18"/>
        <v>164122</v>
      </c>
      <c r="I29" s="652">
        <f t="shared" si="19"/>
        <v>3282.44</v>
      </c>
      <c r="J29" s="656">
        <v>0.15</v>
      </c>
      <c r="K29" s="652">
        <f t="shared" si="20"/>
        <v>492.36599999999999</v>
      </c>
      <c r="L29" s="654">
        <f t="shared" si="21"/>
        <v>2790.0740000000001</v>
      </c>
      <c r="N29" s="2"/>
      <c r="O29" s="229" t="s">
        <v>753</v>
      </c>
      <c r="P29" s="229" t="s">
        <v>756</v>
      </c>
      <c r="Q29" s="229" t="s">
        <v>1221</v>
      </c>
      <c r="R29" s="229" t="s">
        <v>1222</v>
      </c>
    </row>
    <row r="30" spans="1:18" ht="15.75" x14ac:dyDescent="0.25">
      <c r="A30" s="2501"/>
      <c r="B30" s="647"/>
      <c r="C30" s="657"/>
      <c r="D30" s="657"/>
      <c r="E30" s="657"/>
      <c r="F30" s="657"/>
      <c r="G30" s="657"/>
      <c r="H30" s="657"/>
      <c r="I30" s="652"/>
      <c r="J30" s="657"/>
      <c r="K30" s="657"/>
      <c r="L30" s="658"/>
      <c r="N30" s="1210" t="s">
        <v>547</v>
      </c>
      <c r="O30" s="58">
        <f>L38</f>
        <v>5384.8689999999997</v>
      </c>
      <c r="P30" s="1218">
        <f>O30/U7</f>
        <v>0.17003059677928639</v>
      </c>
      <c r="Q30" s="58">
        <f>V7*O30</f>
        <v>2731.7115678560149</v>
      </c>
      <c r="R30" s="119">
        <f t="shared" ref="R30:R36" si="22">O30-Q30</f>
        <v>2653.1574321439848</v>
      </c>
    </row>
    <row r="31" spans="1:18" ht="15.75" x14ac:dyDescent="0.25">
      <c r="A31" s="2501"/>
      <c r="B31" s="647" t="s">
        <v>553</v>
      </c>
      <c r="C31" s="667"/>
      <c r="D31" s="655">
        <v>7.5999999999999998E-2</v>
      </c>
      <c r="E31" s="655">
        <v>0.15</v>
      </c>
      <c r="F31" s="651">
        <v>1007</v>
      </c>
      <c r="G31" s="652">
        <v>69.88</v>
      </c>
      <c r="H31" s="652">
        <f t="shared" ref="H31:H33" si="23">F31*G31</f>
        <v>70369.159999999989</v>
      </c>
      <c r="I31" s="652">
        <f t="shared" si="19"/>
        <v>10555.373999999998</v>
      </c>
      <c r="J31" s="656">
        <v>0.15</v>
      </c>
      <c r="K31" s="652">
        <f t="shared" ref="K31:K33" si="24">J31*I31</f>
        <v>1583.3060999999996</v>
      </c>
      <c r="L31" s="654">
        <f t="shared" ref="L31:L33" si="25">I31-K31</f>
        <v>8972.0678999999982</v>
      </c>
      <c r="N31" s="1213" t="s">
        <v>548</v>
      </c>
      <c r="O31" s="58">
        <f>L39</f>
        <v>5671.8684400000011</v>
      </c>
      <c r="P31" s="1218">
        <f t="shared" ref="P31:P36" si="26">O31/U8</f>
        <v>6.0664289809189711E-2</v>
      </c>
      <c r="Q31" s="58">
        <f t="shared" ref="Q31:Q36" si="27">V8*O31</f>
        <v>3221.7591031864472</v>
      </c>
      <c r="R31" s="119">
        <f t="shared" si="22"/>
        <v>2450.1093368135539</v>
      </c>
    </row>
    <row r="32" spans="1:18" ht="15.75" x14ac:dyDescent="0.25">
      <c r="A32" s="2501"/>
      <c r="B32" s="647" t="s">
        <v>573</v>
      </c>
      <c r="C32" s="667"/>
      <c r="D32" s="655">
        <v>4.0000000000000001E-3</v>
      </c>
      <c r="E32" s="655">
        <v>0.02</v>
      </c>
      <c r="F32" s="651">
        <v>5492</v>
      </c>
      <c r="G32" s="652">
        <v>66.47</v>
      </c>
      <c r="H32" s="652">
        <f t="shared" si="23"/>
        <v>365053.24</v>
      </c>
      <c r="I32" s="652">
        <f t="shared" si="19"/>
        <v>7301.0648000000001</v>
      </c>
      <c r="J32" s="656">
        <v>0.15</v>
      </c>
      <c r="K32" s="652">
        <f t="shared" si="24"/>
        <v>1095.1597199999999</v>
      </c>
      <c r="L32" s="654">
        <f t="shared" si="25"/>
        <v>6205.9050800000005</v>
      </c>
      <c r="N32" s="1213" t="s">
        <v>549</v>
      </c>
      <c r="O32" s="58">
        <f>L40</f>
        <v>6975.1850000000004</v>
      </c>
      <c r="P32" s="1218">
        <f t="shared" si="26"/>
        <v>3.8228780164310888E-2</v>
      </c>
      <c r="Q32" s="58">
        <f t="shared" si="27"/>
        <v>3708.9944803216067</v>
      </c>
      <c r="R32" s="119">
        <f t="shared" si="22"/>
        <v>3266.1905196783937</v>
      </c>
    </row>
    <row r="33" spans="1:18" ht="15.75" x14ac:dyDescent="0.25">
      <c r="A33" s="2501"/>
      <c r="B33" s="647" t="s">
        <v>552</v>
      </c>
      <c r="C33" s="667"/>
      <c r="D33" s="655">
        <v>4.1000000000000002E-2</v>
      </c>
      <c r="E33" s="655">
        <v>7.0000000000000007E-2</v>
      </c>
      <c r="F33" s="651">
        <v>1754</v>
      </c>
      <c r="G33" s="652">
        <v>21.2</v>
      </c>
      <c r="H33" s="652">
        <f t="shared" si="23"/>
        <v>37184.799999999996</v>
      </c>
      <c r="I33" s="652">
        <f t="shared" si="19"/>
        <v>2602.9360000000001</v>
      </c>
      <c r="J33" s="656">
        <v>0.15</v>
      </c>
      <c r="K33" s="652">
        <f t="shared" si="24"/>
        <v>390.44040000000001</v>
      </c>
      <c r="L33" s="654">
        <f t="shared" si="25"/>
        <v>2212.4956000000002</v>
      </c>
      <c r="N33" s="1213" t="s">
        <v>573</v>
      </c>
      <c r="O33" s="58">
        <f>L43</f>
        <v>21720.66778</v>
      </c>
      <c r="P33" s="1218">
        <f t="shared" si="26"/>
        <v>5.7008280066875062E-2</v>
      </c>
      <c r="Q33" s="58">
        <f t="shared" si="27"/>
        <v>10906.539100994201</v>
      </c>
      <c r="R33" s="119">
        <f t="shared" si="22"/>
        <v>10814.128679005798</v>
      </c>
    </row>
    <row r="34" spans="1:18" ht="15.75" x14ac:dyDescent="0.25">
      <c r="A34" s="2501"/>
      <c r="B34" s="647"/>
      <c r="C34" s="657"/>
      <c r="D34" s="657"/>
      <c r="E34" s="657"/>
      <c r="F34" s="657"/>
      <c r="G34" s="657"/>
      <c r="H34" s="657"/>
      <c r="I34" s="652"/>
      <c r="J34" s="657"/>
      <c r="K34" s="657"/>
      <c r="L34" s="658"/>
      <c r="N34" s="1213" t="s">
        <v>552</v>
      </c>
      <c r="O34" s="58">
        <f>L44</f>
        <v>3160.7079999999996</v>
      </c>
      <c r="P34" s="1218">
        <f t="shared" si="26"/>
        <v>9.9603189109129284E-2</v>
      </c>
      <c r="Q34" s="58">
        <f t="shared" si="27"/>
        <v>1661.6800039076038</v>
      </c>
      <c r="R34" s="119">
        <f t="shared" si="22"/>
        <v>1499.0279960923958</v>
      </c>
    </row>
    <row r="35" spans="1:18" ht="15.75" x14ac:dyDescent="0.25">
      <c r="A35" s="2501"/>
      <c r="B35" s="647" t="s">
        <v>572</v>
      </c>
      <c r="C35" s="657"/>
      <c r="D35" s="657"/>
      <c r="E35" s="657"/>
      <c r="F35" s="659">
        <f>SUM(F27:F33)</f>
        <v>15312</v>
      </c>
      <c r="G35" s="657"/>
      <c r="H35" s="659">
        <f>SUM(H27:H33)</f>
        <v>763730.41999999993</v>
      </c>
      <c r="I35" s="652"/>
      <c r="J35" s="657"/>
      <c r="K35" s="659">
        <f>SUM(K27:K33)</f>
        <v>4369.4501999999993</v>
      </c>
      <c r="L35" s="658">
        <f>SUM(L27:L33)</f>
        <v>24760.217799999999</v>
      </c>
      <c r="N35" s="1213" t="s">
        <v>553</v>
      </c>
      <c r="O35" s="58">
        <f>L42</f>
        <v>11962.757199999998</v>
      </c>
      <c r="P35" s="1218">
        <f t="shared" si="26"/>
        <v>0.170000386533843</v>
      </c>
      <c r="Q35" s="58">
        <f t="shared" si="27"/>
        <v>5874.7033574500119</v>
      </c>
      <c r="R35" s="119">
        <f t="shared" si="22"/>
        <v>6088.0538425499863</v>
      </c>
    </row>
    <row r="36" spans="1:18" x14ac:dyDescent="0.2">
      <c r="A36" s="2490"/>
      <c r="B36" s="2491"/>
      <c r="C36" s="2491"/>
      <c r="D36" s="2491"/>
      <c r="E36" s="2491"/>
      <c r="F36" s="2491"/>
      <c r="G36" s="2491"/>
      <c r="H36" s="2491"/>
      <c r="I36" s="2491"/>
      <c r="J36" s="2491"/>
      <c r="K36" s="2491"/>
      <c r="L36" s="2491"/>
      <c r="N36" s="238" t="s">
        <v>719</v>
      </c>
      <c r="O36" s="58">
        <f>SUM(O30:O35)</f>
        <v>54876.055419999997</v>
      </c>
      <c r="P36" s="1218">
        <f t="shared" si="26"/>
        <v>6.9398706293883158E-2</v>
      </c>
      <c r="Q36" s="58">
        <f t="shared" si="27"/>
        <v>28366.721197624745</v>
      </c>
      <c r="R36" s="119">
        <f t="shared" si="22"/>
        <v>26509.334222375252</v>
      </c>
    </row>
    <row r="37" spans="1:18" x14ac:dyDescent="0.2">
      <c r="A37" s="2492"/>
      <c r="B37" s="2493"/>
      <c r="C37" s="2493"/>
      <c r="D37" s="2493"/>
      <c r="E37" s="2493"/>
      <c r="F37" s="2493"/>
      <c r="G37" s="2493"/>
      <c r="H37" s="2493"/>
      <c r="I37" s="2493"/>
      <c r="J37" s="2493"/>
      <c r="K37" s="2493"/>
      <c r="L37" s="2493"/>
      <c r="N37"/>
      <c r="O37"/>
      <c r="P37"/>
      <c r="Q37"/>
      <c r="R37"/>
    </row>
    <row r="38" spans="1:18" x14ac:dyDescent="0.2">
      <c r="A38" s="2501" t="s">
        <v>724</v>
      </c>
      <c r="B38" s="647" t="s">
        <v>547</v>
      </c>
      <c r="C38" s="649">
        <v>4.3999999999999997E-2</v>
      </c>
      <c r="D38" s="649">
        <v>3.5999999999999997E-2</v>
      </c>
      <c r="E38" s="649">
        <v>0.2</v>
      </c>
      <c r="F38" s="652">
        <v>1223</v>
      </c>
      <c r="G38" s="652">
        <v>25.9</v>
      </c>
      <c r="H38" s="652">
        <f>F38*G38</f>
        <v>31675.699999999997</v>
      </c>
      <c r="I38" s="652">
        <f>E38*H38</f>
        <v>6335.1399999999994</v>
      </c>
      <c r="J38" s="653">
        <v>0.15</v>
      </c>
      <c r="K38" s="652">
        <f>J38*I38</f>
        <v>950.27099999999984</v>
      </c>
      <c r="L38" s="654">
        <f>I38-K38</f>
        <v>5384.8689999999997</v>
      </c>
      <c r="N38"/>
      <c r="O38"/>
      <c r="P38"/>
      <c r="Q38"/>
      <c r="R38"/>
    </row>
    <row r="39" spans="1:18" ht="15.75" x14ac:dyDescent="0.25">
      <c r="A39" s="2501"/>
      <c r="B39" s="647" t="s">
        <v>548</v>
      </c>
      <c r="C39" s="655">
        <v>0</v>
      </c>
      <c r="D39" s="655">
        <v>0</v>
      </c>
      <c r="E39" s="660">
        <v>7.0000000000000007E-2</v>
      </c>
      <c r="F39" s="652">
        <v>2036</v>
      </c>
      <c r="G39" s="652">
        <v>46.82</v>
      </c>
      <c r="H39" s="652">
        <f t="shared" ref="H39:H40" si="28">F39*G39</f>
        <v>95325.52</v>
      </c>
      <c r="I39" s="652">
        <f t="shared" ref="I39:I44" si="29">E39*H39</f>
        <v>6672.7864000000009</v>
      </c>
      <c r="J39" s="656">
        <v>0.15</v>
      </c>
      <c r="K39" s="652">
        <f t="shared" ref="K39:K40" si="30">J39*I39</f>
        <v>1000.9179600000001</v>
      </c>
      <c r="L39" s="654">
        <f t="shared" ref="L39:L40" si="31">I39-K39</f>
        <v>5671.8684400000011</v>
      </c>
      <c r="N39"/>
      <c r="O39" s="32" t="s">
        <v>721</v>
      </c>
      <c r="P39"/>
      <c r="Q39"/>
      <c r="R39"/>
    </row>
    <row r="40" spans="1:18" x14ac:dyDescent="0.2">
      <c r="A40" s="2501"/>
      <c r="B40" s="647" t="s">
        <v>549</v>
      </c>
      <c r="C40" s="655">
        <v>2E-3</v>
      </c>
      <c r="D40" s="655">
        <v>6.0000000000000001E-3</v>
      </c>
      <c r="E40" s="649">
        <v>0.05</v>
      </c>
      <c r="F40" s="652">
        <v>3800</v>
      </c>
      <c r="G40" s="652">
        <v>43.19</v>
      </c>
      <c r="H40" s="652">
        <f t="shared" si="28"/>
        <v>164122</v>
      </c>
      <c r="I40" s="652">
        <f t="shared" si="29"/>
        <v>8206.1</v>
      </c>
      <c r="J40" s="656">
        <v>0.15</v>
      </c>
      <c r="K40" s="652">
        <f t="shared" si="30"/>
        <v>1230.915</v>
      </c>
      <c r="L40" s="654">
        <f t="shared" si="31"/>
        <v>6975.1850000000004</v>
      </c>
      <c r="N40" s="2"/>
      <c r="O40" s="229" t="s">
        <v>753</v>
      </c>
      <c r="P40" s="229" t="s">
        <v>756</v>
      </c>
      <c r="Q40" s="229" t="s">
        <v>1221</v>
      </c>
      <c r="R40" s="229" t="s">
        <v>1222</v>
      </c>
    </row>
    <row r="41" spans="1:18" ht="15.75" x14ac:dyDescent="0.25">
      <c r="A41" s="2501"/>
      <c r="B41" s="647"/>
      <c r="C41" s="657"/>
      <c r="D41" s="657"/>
      <c r="E41" s="657"/>
      <c r="F41" s="657"/>
      <c r="G41" s="657"/>
      <c r="H41" s="657"/>
      <c r="I41" s="652"/>
      <c r="J41" s="657"/>
      <c r="K41" s="657"/>
      <c r="L41" s="658"/>
      <c r="N41" s="1210" t="s">
        <v>547</v>
      </c>
      <c r="O41" s="58">
        <f>L5</f>
        <v>10503.613200000003</v>
      </c>
      <c r="P41" s="1218">
        <f>O41/Q7</f>
        <v>0.34001078596400375</v>
      </c>
      <c r="Q41" s="58">
        <f>R7*O41</f>
        <v>5285.1276570244745</v>
      </c>
      <c r="R41" s="119">
        <f t="shared" ref="R41:R47" si="32">O41-Q41</f>
        <v>5218.4855429755289</v>
      </c>
    </row>
    <row r="42" spans="1:18" ht="15.75" x14ac:dyDescent="0.25">
      <c r="A42" s="2501"/>
      <c r="B42" s="647" t="s">
        <v>553</v>
      </c>
      <c r="C42" s="667"/>
      <c r="D42" s="655">
        <v>9.9000000000000005E-2</v>
      </c>
      <c r="E42" s="655">
        <v>0.2</v>
      </c>
      <c r="F42" s="651">
        <v>1007</v>
      </c>
      <c r="G42" s="652">
        <v>69.88</v>
      </c>
      <c r="H42" s="652">
        <f t="shared" ref="H42:H44" si="33">F42*G42</f>
        <v>70369.159999999989</v>
      </c>
      <c r="I42" s="652">
        <f t="shared" si="29"/>
        <v>14073.831999999999</v>
      </c>
      <c r="J42" s="656">
        <v>0.15</v>
      </c>
      <c r="K42" s="652">
        <f t="shared" ref="K42:K44" si="34">J42*I42</f>
        <v>2111.0747999999999</v>
      </c>
      <c r="L42" s="654">
        <f t="shared" ref="L42:L44" si="35">I42-K42</f>
        <v>11962.757199999998</v>
      </c>
      <c r="N42" s="1213" t="s">
        <v>548</v>
      </c>
      <c r="O42" s="58">
        <f>L6</f>
        <v>4207.0886</v>
      </c>
      <c r="P42" s="1218">
        <f t="shared" ref="P42:P47" si="36">O42/Q8</f>
        <v>4.3328718703976435E-2</v>
      </c>
      <c r="Q42" s="58">
        <f t="shared" ref="Q42:Q47" si="37">R8*O42</f>
        <v>2389.2755354933724</v>
      </c>
      <c r="R42" s="119">
        <f t="shared" si="32"/>
        <v>1817.8130645066276</v>
      </c>
    </row>
    <row r="43" spans="1:18" ht="15.75" x14ac:dyDescent="0.25">
      <c r="A43" s="2501"/>
      <c r="B43" s="647" t="s">
        <v>573</v>
      </c>
      <c r="C43" s="667"/>
      <c r="D43" s="655">
        <v>1.4E-2</v>
      </c>
      <c r="E43" s="655">
        <v>7.0000000000000007E-2</v>
      </c>
      <c r="F43" s="651">
        <v>5492</v>
      </c>
      <c r="G43" s="652">
        <v>66.47</v>
      </c>
      <c r="H43" s="652">
        <f t="shared" si="33"/>
        <v>365053.24</v>
      </c>
      <c r="I43" s="652">
        <f t="shared" si="29"/>
        <v>25553.7268</v>
      </c>
      <c r="J43" s="656">
        <v>0.15</v>
      </c>
      <c r="K43" s="652">
        <f t="shared" si="34"/>
        <v>3833.0590199999997</v>
      </c>
      <c r="L43" s="654">
        <f t="shared" si="35"/>
        <v>21720.66778</v>
      </c>
      <c r="N43" s="1213" t="s">
        <v>549</v>
      </c>
      <c r="O43" s="58">
        <f>L7</f>
        <v>8439.9900000000016</v>
      </c>
      <c r="P43" s="1218">
        <f t="shared" si="36"/>
        <v>3.793117550829634E-2</v>
      </c>
      <c r="Q43" s="58">
        <f t="shared" si="37"/>
        <v>4526.8202786866104</v>
      </c>
      <c r="R43" s="119">
        <f t="shared" si="32"/>
        <v>3913.1697213133912</v>
      </c>
    </row>
    <row r="44" spans="1:18" ht="15.75" x14ac:dyDescent="0.25">
      <c r="A44" s="2501"/>
      <c r="B44" s="647" t="s">
        <v>552</v>
      </c>
      <c r="C44" s="667"/>
      <c r="D44" s="655">
        <v>3.4000000000000002E-2</v>
      </c>
      <c r="E44" s="655">
        <v>0.1</v>
      </c>
      <c r="F44" s="651">
        <v>1754</v>
      </c>
      <c r="G44" s="652">
        <v>21.2</v>
      </c>
      <c r="H44" s="652">
        <f t="shared" si="33"/>
        <v>37184.799999999996</v>
      </c>
      <c r="I44" s="652">
        <f t="shared" si="29"/>
        <v>3718.4799999999996</v>
      </c>
      <c r="J44" s="656">
        <v>0.15</v>
      </c>
      <c r="K44" s="652">
        <f t="shared" si="34"/>
        <v>557.77199999999993</v>
      </c>
      <c r="L44" s="654">
        <f t="shared" si="35"/>
        <v>3160.7079999999996</v>
      </c>
      <c r="N44" s="1213" t="s">
        <v>573</v>
      </c>
      <c r="O44" s="58">
        <f>L10</f>
        <v>20477.059300000001</v>
      </c>
      <c r="P44" s="1218">
        <f t="shared" si="36"/>
        <v>4.0719735800730995E-2</v>
      </c>
      <c r="Q44" s="58">
        <f t="shared" si="37"/>
        <v>10323.023101786517</v>
      </c>
      <c r="R44" s="119">
        <f t="shared" si="32"/>
        <v>10154.036198213484</v>
      </c>
    </row>
    <row r="45" spans="1:18" ht="15.75" x14ac:dyDescent="0.25">
      <c r="A45" s="2501"/>
      <c r="B45" s="647"/>
      <c r="C45" s="657"/>
      <c r="D45" s="657"/>
      <c r="E45" s="657"/>
      <c r="F45" s="657"/>
      <c r="G45" s="657"/>
      <c r="H45" s="657"/>
      <c r="I45" s="652"/>
      <c r="J45" s="657"/>
      <c r="K45" s="657"/>
      <c r="L45" s="661"/>
      <c r="N45" s="1213" t="s">
        <v>552</v>
      </c>
      <c r="O45" s="58">
        <f>L11</f>
        <v>1777.89825</v>
      </c>
      <c r="P45" s="1218">
        <f t="shared" si="36"/>
        <v>4.9803861560871757E-2</v>
      </c>
      <c r="Q45" s="58">
        <f t="shared" si="37"/>
        <v>926.20241344753208</v>
      </c>
      <c r="R45" s="119">
        <f t="shared" si="32"/>
        <v>851.69583655246788</v>
      </c>
    </row>
    <row r="46" spans="1:18" ht="16.5" thickBot="1" x14ac:dyDescent="0.3">
      <c r="A46" s="2502"/>
      <c r="B46" s="662" t="s">
        <v>572</v>
      </c>
      <c r="C46" s="663"/>
      <c r="D46" s="663"/>
      <c r="E46" s="663"/>
      <c r="F46" s="664">
        <f>SUM(F38:F44)</f>
        <v>15312</v>
      </c>
      <c r="G46" s="663"/>
      <c r="H46" s="664">
        <f>SUM(H38:H44)</f>
        <v>763730.41999999993</v>
      </c>
      <c r="I46" s="665"/>
      <c r="J46" s="663"/>
      <c r="K46" s="664">
        <f>SUM(K38:K44)</f>
        <v>9684.0097800000003</v>
      </c>
      <c r="L46" s="666">
        <f>SUM(L38:L44)</f>
        <v>54876.055420000004</v>
      </c>
      <c r="N46" s="1213" t="s">
        <v>553</v>
      </c>
      <c r="O46" s="58">
        <f>L9</f>
        <v>9910.1891000000014</v>
      </c>
      <c r="P46" s="1218">
        <f t="shared" si="36"/>
        <v>0.17000067072647743</v>
      </c>
      <c r="Q46" s="58">
        <f t="shared" si="37"/>
        <v>4874.9392337524669</v>
      </c>
      <c r="R46" s="119">
        <f t="shared" si="32"/>
        <v>5035.2498662475346</v>
      </c>
    </row>
    <row r="47" spans="1:18" ht="13.5" thickTop="1" x14ac:dyDescent="0.2">
      <c r="A47" s="643"/>
      <c r="B47" s="643"/>
      <c r="C47" s="643"/>
      <c r="D47" s="643"/>
      <c r="E47" s="643"/>
      <c r="F47" s="643"/>
      <c r="G47" s="643"/>
      <c r="H47" s="643"/>
      <c r="I47" s="643"/>
      <c r="J47" s="643"/>
      <c r="K47" s="643"/>
      <c r="L47" s="643"/>
      <c r="N47" s="238" t="s">
        <v>719</v>
      </c>
      <c r="O47" s="58">
        <f>SUM(O41:O46)</f>
        <v>55315.83845000001</v>
      </c>
      <c r="P47" s="1218">
        <f t="shared" si="36"/>
        <v>5.8388966536762919E-2</v>
      </c>
      <c r="Q47" s="58">
        <f t="shared" si="37"/>
        <v>28658.297388674364</v>
      </c>
      <c r="R47" s="119">
        <f t="shared" si="32"/>
        <v>26657.541061325646</v>
      </c>
    </row>
    <row r="48" spans="1:18" x14ac:dyDescent="0.2">
      <c r="A48" s="643"/>
      <c r="B48" s="643"/>
      <c r="C48" s="643"/>
      <c r="D48" s="643"/>
      <c r="E48" s="643"/>
      <c r="F48" s="643"/>
      <c r="G48" s="643"/>
      <c r="H48" s="643"/>
      <c r="I48" s="643"/>
      <c r="J48" s="643"/>
      <c r="K48" s="643"/>
      <c r="L48" s="643"/>
      <c r="N48"/>
      <c r="O48"/>
      <c r="P48"/>
      <c r="Q48"/>
      <c r="R48"/>
    </row>
    <row r="49" spans="14:18" x14ac:dyDescent="0.2">
      <c r="N49"/>
      <c r="O49"/>
      <c r="P49"/>
      <c r="Q49"/>
      <c r="R49"/>
    </row>
    <row r="50" spans="14:18" ht="15.75" x14ac:dyDescent="0.25">
      <c r="N50"/>
      <c r="O50" s="32" t="s">
        <v>722</v>
      </c>
      <c r="P50"/>
      <c r="Q50"/>
      <c r="R50"/>
    </row>
    <row r="51" spans="14:18" x14ac:dyDescent="0.2">
      <c r="N51" s="2"/>
      <c r="O51" s="1219" t="s">
        <v>753</v>
      </c>
      <c r="P51" s="1219" t="s">
        <v>756</v>
      </c>
      <c r="Q51" s="1219" t="s">
        <v>1221</v>
      </c>
      <c r="R51" s="1219" t="s">
        <v>1222</v>
      </c>
    </row>
    <row r="52" spans="14:18" ht="15.75" x14ac:dyDescent="0.25">
      <c r="N52" s="1210" t="s">
        <v>547</v>
      </c>
      <c r="O52" s="58">
        <f>L16</f>
        <v>7877.7098999999998</v>
      </c>
      <c r="P52" s="1218">
        <f>O52/Q7</f>
        <v>0.25500808947300274</v>
      </c>
      <c r="Q52" s="58">
        <f>R7*O52</f>
        <v>3963.8457427683543</v>
      </c>
      <c r="R52" s="119">
        <f t="shared" ref="R52:R58" si="38">O52-Q52</f>
        <v>3913.8641572316455</v>
      </c>
    </row>
    <row r="53" spans="14:18" ht="15.75" x14ac:dyDescent="0.25">
      <c r="N53" s="1213" t="s">
        <v>548</v>
      </c>
      <c r="O53" s="58">
        <f>L17</f>
        <v>8414.1772000000001</v>
      </c>
      <c r="P53" s="1218">
        <f t="shared" ref="P53:P58" si="39">O53/Q8</f>
        <v>8.665743740795287E-2</v>
      </c>
      <c r="Q53" s="58">
        <f t="shared" ref="Q53:Q58" si="40">R8*O53</f>
        <v>4778.5510709867449</v>
      </c>
      <c r="R53" s="119">
        <f t="shared" si="38"/>
        <v>3635.6261290132552</v>
      </c>
    </row>
    <row r="54" spans="14:18" ht="15.75" x14ac:dyDescent="0.25">
      <c r="N54" s="1213" t="s">
        <v>549</v>
      </c>
      <c r="O54" s="58">
        <f>L18</f>
        <v>25319.969999999998</v>
      </c>
      <c r="P54" s="1218">
        <f t="shared" si="39"/>
        <v>0.11379352652488899</v>
      </c>
      <c r="Q54" s="58">
        <f t="shared" si="40"/>
        <v>13580.460836059827</v>
      </c>
      <c r="R54" s="119">
        <f t="shared" si="38"/>
        <v>11739.509163940171</v>
      </c>
    </row>
    <row r="55" spans="14:18" ht="15.75" x14ac:dyDescent="0.25">
      <c r="N55" s="1213" t="s">
        <v>573</v>
      </c>
      <c r="O55" s="58">
        <f>L21</f>
        <v>49144.942320000002</v>
      </c>
      <c r="P55" s="1218">
        <f t="shared" si="39"/>
        <v>9.7727365921754392E-2</v>
      </c>
      <c r="Q55" s="58">
        <f t="shared" si="40"/>
        <v>24775.255444287643</v>
      </c>
      <c r="R55" s="119">
        <f t="shared" si="38"/>
        <v>24369.686875712359</v>
      </c>
    </row>
    <row r="56" spans="14:18" ht="15.75" x14ac:dyDescent="0.25">
      <c r="N56" s="1213" t="s">
        <v>552</v>
      </c>
      <c r="O56" s="58">
        <f>L22</f>
        <v>3555.7964999999999</v>
      </c>
      <c r="P56" s="1218">
        <f t="shared" si="39"/>
        <v>9.9607723121743513E-2</v>
      </c>
      <c r="Q56" s="58">
        <f t="shared" si="40"/>
        <v>1852.4048268950642</v>
      </c>
      <c r="R56" s="119">
        <f t="shared" si="38"/>
        <v>1703.3916731049358</v>
      </c>
    </row>
    <row r="57" spans="14:18" ht="15.75" x14ac:dyDescent="0.25">
      <c r="N57" s="1213" t="s">
        <v>553</v>
      </c>
      <c r="O57" s="58">
        <f>L20</f>
        <v>19820.378200000003</v>
      </c>
      <c r="P57" s="1218">
        <f t="shared" si="39"/>
        <v>0.34000134145295485</v>
      </c>
      <c r="Q57" s="58">
        <f t="shared" si="40"/>
        <v>9749.8784675049337</v>
      </c>
      <c r="R57" s="119">
        <f t="shared" si="38"/>
        <v>10070.499732495069</v>
      </c>
    </row>
    <row r="58" spans="14:18" x14ac:dyDescent="0.2">
      <c r="N58" s="238" t="s">
        <v>719</v>
      </c>
      <c r="O58" s="58">
        <f>SUM(O52:O57)</f>
        <v>114132.97412</v>
      </c>
      <c r="P58" s="1218">
        <f t="shared" si="39"/>
        <v>0.12047374844833264</v>
      </c>
      <c r="Q58" s="58">
        <f t="shared" si="40"/>
        <v>59130.563792165281</v>
      </c>
      <c r="R58" s="119">
        <f t="shared" si="38"/>
        <v>55002.410327834717</v>
      </c>
    </row>
  </sheetData>
  <mergeCells count="14">
    <mergeCell ref="A38:A46"/>
    <mergeCell ref="A5:A13"/>
    <mergeCell ref="A16:A24"/>
    <mergeCell ref="A27:A35"/>
    <mergeCell ref="O5:R5"/>
    <mergeCell ref="S5:V5"/>
    <mergeCell ref="A14:L15"/>
    <mergeCell ref="A25:L26"/>
    <mergeCell ref="A36:L37"/>
    <mergeCell ref="A3:B4"/>
    <mergeCell ref="C3:C4"/>
    <mergeCell ref="D3:D4"/>
    <mergeCell ref="E3:E4"/>
    <mergeCell ref="F3:L3"/>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M19" sqref="M19:O19"/>
    </sheetView>
  </sheetViews>
  <sheetFormatPr defaultColWidth="8.85546875" defaultRowHeight="15" x14ac:dyDescent="0.25"/>
  <cols>
    <col min="1" max="1" width="47.42578125" style="1366" customWidth="1"/>
    <col min="2" max="5" width="12.85546875" style="1366" customWidth="1"/>
    <col min="6" max="7" width="12.85546875" style="1366" hidden="1" customWidth="1"/>
    <col min="8" max="8" width="16.140625" style="1366" hidden="1" customWidth="1"/>
    <col min="9" max="9" width="8.85546875" style="1366"/>
    <col min="10" max="10" width="13.42578125" style="1366" customWidth="1"/>
    <col min="11" max="11" width="13.7109375" style="1366" customWidth="1"/>
    <col min="12" max="12" width="13" style="1366" customWidth="1"/>
    <col min="13" max="13" width="11.7109375" style="1366" customWidth="1"/>
    <col min="14" max="14" width="11.85546875" style="1366" customWidth="1"/>
    <col min="15" max="15" width="12.85546875" style="1366" customWidth="1"/>
    <col min="16" max="16384" width="8.85546875" style="1366"/>
  </cols>
  <sheetData>
    <row r="1" spans="1:15" ht="15.75" thickBot="1" x14ac:dyDescent="0.3">
      <c r="A1" s="1376" t="s">
        <v>45</v>
      </c>
    </row>
    <row r="2" spans="1:15" x14ac:dyDescent="0.25">
      <c r="A2" s="2503" t="s">
        <v>830</v>
      </c>
    </row>
    <row r="3" spans="1:15" x14ac:dyDescent="0.25">
      <c r="A3" s="2504"/>
    </row>
    <row r="4" spans="1:15" x14ac:dyDescent="0.25">
      <c r="A4" s="2504"/>
    </row>
    <row r="5" spans="1:15" x14ac:dyDescent="0.25">
      <c r="A5" s="2504" t="s">
        <v>158</v>
      </c>
    </row>
    <row r="6" spans="1:15" x14ac:dyDescent="0.25">
      <c r="A6" s="2504"/>
    </row>
    <row r="7" spans="1:15" x14ac:dyDescent="0.25">
      <c r="A7" s="2505"/>
    </row>
    <row r="8" spans="1:15" x14ac:dyDescent="0.25">
      <c r="A8" s="2505"/>
    </row>
    <row r="9" spans="1:15" ht="15.75" thickBot="1" x14ac:dyDescent="0.3">
      <c r="A9" s="1377"/>
    </row>
    <row r="12" spans="1:15" ht="60" x14ac:dyDescent="0.25">
      <c r="A12" s="1378"/>
      <c r="B12" s="1379" t="s">
        <v>1384</v>
      </c>
      <c r="C12" s="1379" t="s">
        <v>1385</v>
      </c>
      <c r="D12" s="1379" t="s">
        <v>1386</v>
      </c>
      <c r="E12" s="1379" t="s">
        <v>1387</v>
      </c>
      <c r="F12" s="1379" t="s">
        <v>1388</v>
      </c>
      <c r="G12" s="1379" t="s">
        <v>1389</v>
      </c>
      <c r="H12" s="1379" t="s">
        <v>1390</v>
      </c>
      <c r="I12" s="1380" t="s">
        <v>1391</v>
      </c>
      <c r="J12" s="1380" t="s">
        <v>1392</v>
      </c>
      <c r="K12" s="1380" t="s">
        <v>1393</v>
      </c>
      <c r="L12" s="1380" t="s">
        <v>1394</v>
      </c>
      <c r="M12" s="1380" t="s">
        <v>1395</v>
      </c>
      <c r="N12" s="1380" t="s">
        <v>1396</v>
      </c>
      <c r="O12" s="1380" t="s">
        <v>1397</v>
      </c>
    </row>
    <row r="13" spans="1:15" x14ac:dyDescent="0.25">
      <c r="A13" s="1381" t="s">
        <v>549</v>
      </c>
      <c r="B13" s="1382">
        <v>33863</v>
      </c>
      <c r="C13" s="1382">
        <v>27617</v>
      </c>
      <c r="D13" s="1382">
        <v>73197</v>
      </c>
      <c r="E13" s="1382">
        <v>61176</v>
      </c>
      <c r="F13" s="1383">
        <f t="shared" ref="F13" si="0">(B13+C13)/(D13+E13)</f>
        <v>0.45753239117977568</v>
      </c>
      <c r="G13" s="1383">
        <f t="shared" ref="G13:H13" si="1">B13/D13</f>
        <v>0.46262824979165812</v>
      </c>
      <c r="H13" s="1383">
        <f t="shared" si="1"/>
        <v>0.45143520334771808</v>
      </c>
      <c r="I13" s="1373">
        <v>4226</v>
      </c>
      <c r="J13" s="1373">
        <v>2288</v>
      </c>
      <c r="K13" s="1384">
        <f>B13*(I13/J13)</f>
        <v>62545.908216783217</v>
      </c>
      <c r="L13" s="1384">
        <f>C13*(I13/J13)</f>
        <v>51009.371503496506</v>
      </c>
      <c r="M13" s="1385">
        <f>(K13+L13)/(D13+E13)</f>
        <v>0.84507512461788992</v>
      </c>
      <c r="N13" s="1385">
        <f>K13/D13</f>
        <v>0.85448731801553635</v>
      </c>
      <c r="O13" s="1385">
        <f>L13/E13</f>
        <v>0.83381344814137093</v>
      </c>
    </row>
    <row r="14" spans="1:15" x14ac:dyDescent="0.25">
      <c r="A14" s="1381" t="s">
        <v>547</v>
      </c>
      <c r="B14" s="1382">
        <v>3627</v>
      </c>
      <c r="C14" s="1382">
        <v>3504</v>
      </c>
      <c r="D14" s="1382">
        <v>15696</v>
      </c>
      <c r="E14" s="1382">
        <v>15309</v>
      </c>
      <c r="F14" s="1383">
        <f>(B14+C14)/(D14+E14)</f>
        <v>0.22999516207063378</v>
      </c>
      <c r="G14" s="1383">
        <f>B14/D14</f>
        <v>0.23107798165137614</v>
      </c>
      <c r="H14" s="1383">
        <f>C14/E14</f>
        <v>0.22888496962571037</v>
      </c>
      <c r="I14" s="1373">
        <v>1224</v>
      </c>
      <c r="J14" s="1373">
        <v>1044</v>
      </c>
      <c r="K14" s="1384">
        <f t="shared" ref="K14:K18" si="2">B14*(I14/J14)</f>
        <v>4252.3448275862065</v>
      </c>
      <c r="L14" s="1384">
        <f t="shared" ref="L14:L18" si="3">C14*(I14/J14)</f>
        <v>4108.1379310344828</v>
      </c>
      <c r="M14" s="1385">
        <f t="shared" ref="M14:M19" si="4">(K14+L14)/(D14+E14)</f>
        <v>0.26964950035867402</v>
      </c>
      <c r="N14" s="1385">
        <f t="shared" ref="N14:O19" si="5">K14/D14</f>
        <v>0.27091901297057891</v>
      </c>
      <c r="O14" s="1385">
        <f t="shared" si="5"/>
        <v>0.26834789542324666</v>
      </c>
    </row>
    <row r="15" spans="1:15" x14ac:dyDescent="0.25">
      <c r="A15" s="1381" t="s">
        <v>552</v>
      </c>
      <c r="B15" s="1382">
        <v>1657</v>
      </c>
      <c r="C15" s="1382">
        <v>1300</v>
      </c>
      <c r="D15" s="1382">
        <v>14188</v>
      </c>
      <c r="E15" s="1382">
        <v>13051</v>
      </c>
      <c r="F15" s="1383">
        <f t="shared" ref="F15:F18" si="6">(B15+C15)/(D15+E15)</f>
        <v>0.10855758287749183</v>
      </c>
      <c r="G15" s="1383">
        <f t="shared" ref="G15:H18" si="7">B15/D15</f>
        <v>0.11678883563574852</v>
      </c>
      <c r="H15" s="1383">
        <f t="shared" si="7"/>
        <v>9.960922534671672E-2</v>
      </c>
      <c r="I15" s="1373">
        <v>1528</v>
      </c>
      <c r="J15" s="1373">
        <v>456</v>
      </c>
      <c r="K15" s="1384">
        <f t="shared" si="2"/>
        <v>5552.4035087719303</v>
      </c>
      <c r="L15" s="1384">
        <f t="shared" si="3"/>
        <v>4356.1403508771937</v>
      </c>
      <c r="M15" s="1385">
        <f t="shared" si="4"/>
        <v>0.36376312858949023</v>
      </c>
      <c r="N15" s="1385">
        <f t="shared" si="5"/>
        <v>0.39134504572680651</v>
      </c>
      <c r="O15" s="1385">
        <f t="shared" si="5"/>
        <v>0.33377828142496313</v>
      </c>
    </row>
    <row r="16" spans="1:15" x14ac:dyDescent="0.25">
      <c r="A16" s="1381" t="s">
        <v>573</v>
      </c>
      <c r="B16" s="1382">
        <v>49703</v>
      </c>
      <c r="C16" s="1382">
        <v>46048</v>
      </c>
      <c r="D16" s="1382">
        <v>137862</v>
      </c>
      <c r="E16" s="1382">
        <v>128785</v>
      </c>
      <c r="F16" s="1386">
        <f t="shared" si="6"/>
        <v>0.35909273308906531</v>
      </c>
      <c r="G16" s="1386">
        <f t="shared" si="7"/>
        <v>0.36052719386052717</v>
      </c>
      <c r="H16" s="1386">
        <f t="shared" si="7"/>
        <v>0.35755716892495243</v>
      </c>
      <c r="I16" s="1373">
        <v>5842</v>
      </c>
      <c r="J16" s="1373">
        <v>3132</v>
      </c>
      <c r="K16" s="1384">
        <f t="shared" si="2"/>
        <v>92709.107918263093</v>
      </c>
      <c r="L16" s="1384">
        <f t="shared" si="3"/>
        <v>85891.575989782883</v>
      </c>
      <c r="M16" s="1385">
        <f t="shared" si="4"/>
        <v>0.66980196254991053</v>
      </c>
      <c r="N16" s="1385">
        <f t="shared" si="5"/>
        <v>0.67247760744993612</v>
      </c>
      <c r="O16" s="1385">
        <f t="shared" si="5"/>
        <v>0.66693773335235385</v>
      </c>
    </row>
    <row r="17" spans="1:15" x14ac:dyDescent="0.25">
      <c r="A17" s="1381" t="s">
        <v>553</v>
      </c>
      <c r="B17" s="1382">
        <v>17800</v>
      </c>
      <c r="C17" s="1382">
        <v>18731</v>
      </c>
      <c r="D17" s="1382">
        <v>36276</v>
      </c>
      <c r="E17" s="1382">
        <v>38606</v>
      </c>
      <c r="F17" s="1386">
        <f t="shared" si="6"/>
        <v>0.48784754680697628</v>
      </c>
      <c r="G17" s="1386">
        <f t="shared" si="7"/>
        <v>0.49068254493328922</v>
      </c>
      <c r="H17" s="1386">
        <f t="shared" si="7"/>
        <v>0.48518365020981197</v>
      </c>
      <c r="I17" s="1373">
        <v>999</v>
      </c>
      <c r="J17" s="1373">
        <v>622</v>
      </c>
      <c r="K17" s="1384">
        <f t="shared" si="2"/>
        <v>28588.745980707397</v>
      </c>
      <c r="L17" s="1384">
        <f t="shared" si="3"/>
        <v>30084.033762057879</v>
      </c>
      <c r="M17" s="1385">
        <f t="shared" si="4"/>
        <v>0.78353649398741054</v>
      </c>
      <c r="N17" s="1385">
        <f t="shared" si="5"/>
        <v>0.78808981091375563</v>
      </c>
      <c r="O17" s="1385">
        <f t="shared" si="5"/>
        <v>0.77925798482251152</v>
      </c>
    </row>
    <row r="18" spans="1:15" x14ac:dyDescent="0.25">
      <c r="A18" s="1381" t="s">
        <v>548</v>
      </c>
      <c r="B18" s="1382">
        <v>41284</v>
      </c>
      <c r="C18" s="1382">
        <v>30036</v>
      </c>
      <c r="D18" s="1382">
        <v>48258</v>
      </c>
      <c r="E18" s="1382">
        <v>32629</v>
      </c>
      <c r="F18" s="1386">
        <f t="shared" si="6"/>
        <v>0.88172388640943533</v>
      </c>
      <c r="G18" s="1386">
        <f t="shared" si="7"/>
        <v>0.85548510091591035</v>
      </c>
      <c r="H18" s="1386">
        <f t="shared" si="7"/>
        <v>0.92053081614514698</v>
      </c>
      <c r="I18" s="1373">
        <v>2011</v>
      </c>
      <c r="J18" s="1373">
        <v>1835</v>
      </c>
      <c r="K18" s="1384">
        <f t="shared" si="2"/>
        <v>45243.664305177117</v>
      </c>
      <c r="L18" s="1384">
        <f t="shared" si="3"/>
        <v>32916.837057220713</v>
      </c>
      <c r="M18" s="1385">
        <f t="shared" si="4"/>
        <v>0.96629249894788816</v>
      </c>
      <c r="N18" s="1385">
        <f t="shared" si="5"/>
        <v>0.93753707789749097</v>
      </c>
      <c r="O18" s="1385">
        <f t="shared" si="5"/>
        <v>1.0088215102277334</v>
      </c>
    </row>
    <row r="19" spans="1:15" x14ac:dyDescent="0.25">
      <c r="A19" s="1387" t="s">
        <v>1398</v>
      </c>
      <c r="B19" s="1388"/>
      <c r="C19" s="1388"/>
      <c r="D19" s="1388">
        <f>SUM(D13:D18)</f>
        <v>325477</v>
      </c>
      <c r="E19" s="1388">
        <f>SUM(E13:E18)</f>
        <v>289556</v>
      </c>
      <c r="F19" s="1389">
        <f t="shared" ref="F19:F20" si="8">(B21+C21)/(D21+E21)</f>
        <v>0</v>
      </c>
      <c r="G19" s="1389">
        <f t="shared" ref="G19:H20" si="9">B21/D21</f>
        <v>0</v>
      </c>
      <c r="H19" s="1389">
        <f t="shared" si="9"/>
        <v>0</v>
      </c>
      <c r="I19" s="1390"/>
      <c r="J19" s="1390"/>
      <c r="K19" s="1391">
        <f>SUM(K13:K18)</f>
        <v>238892.17475728894</v>
      </c>
      <c r="L19" s="1391">
        <f>SUM(L13:L18)</f>
        <v>208366.09659446965</v>
      </c>
      <c r="M19" s="1389">
        <f t="shared" si="4"/>
        <v>0.7272102006750184</v>
      </c>
      <c r="N19" s="1389">
        <f t="shared" si="5"/>
        <v>0.73397559507212162</v>
      </c>
      <c r="O19" s="1389">
        <f t="shared" si="5"/>
        <v>0.71960552222875596</v>
      </c>
    </row>
    <row r="20" spans="1:15" x14ac:dyDescent="0.25">
      <c r="A20" s="1381"/>
      <c r="B20" s="1382"/>
      <c r="C20" s="1382"/>
      <c r="D20" s="1382"/>
      <c r="E20" s="1382"/>
      <c r="F20" s="1389">
        <f t="shared" si="8"/>
        <v>0</v>
      </c>
      <c r="G20" s="1389">
        <f t="shared" si="9"/>
        <v>0</v>
      </c>
      <c r="H20" s="1389">
        <f t="shared" si="9"/>
        <v>0</v>
      </c>
    </row>
    <row r="21" spans="1:15" x14ac:dyDescent="0.25">
      <c r="A21" s="1381" t="s">
        <v>1399</v>
      </c>
      <c r="B21" s="1392"/>
      <c r="C21" s="1392"/>
      <c r="D21" s="1382">
        <v>29992</v>
      </c>
      <c r="E21" s="1382">
        <v>16811</v>
      </c>
    </row>
    <row r="22" spans="1:15" x14ac:dyDescent="0.25">
      <c r="A22" s="1381" t="s">
        <v>1400</v>
      </c>
      <c r="B22" s="1392"/>
      <c r="C22" s="1392"/>
      <c r="D22" s="1382">
        <v>143807</v>
      </c>
      <c r="E22" s="1382">
        <v>99571</v>
      </c>
    </row>
    <row r="25" spans="1:15" x14ac:dyDescent="0.25">
      <c r="A25" s="1393" t="s">
        <v>1401</v>
      </c>
    </row>
  </sheetData>
  <mergeCells count="2">
    <mergeCell ref="A2:A4"/>
    <mergeCell ref="A5:A8"/>
  </mergeCells>
  <pageMargins left="0.7" right="0.7" top="0.75" bottom="0.75" header="0.3" footer="0.3"/>
  <pageSetup paperSize="9" orientation="portrait" horizontalDpi="4294967295" verticalDpi="429496729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0"/>
  <sheetViews>
    <sheetView topLeftCell="C1" workbookViewId="0">
      <selection activeCell="X23" sqref="X23"/>
    </sheetView>
  </sheetViews>
  <sheetFormatPr defaultColWidth="8.85546875" defaultRowHeight="12.75" x14ac:dyDescent="0.2"/>
  <sheetData>
    <row r="2" spans="1:11" ht="15" x14ac:dyDescent="0.25">
      <c r="A2" s="146" t="s">
        <v>591</v>
      </c>
      <c r="B2" s="146"/>
      <c r="C2" s="146"/>
      <c r="D2" s="146"/>
    </row>
    <row r="3" spans="1:11" ht="15" x14ac:dyDescent="0.25">
      <c r="A3" s="23"/>
      <c r="B3" s="158" t="s">
        <v>592</v>
      </c>
      <c r="C3" s="2506" t="s">
        <v>593</v>
      </c>
      <c r="D3" s="2507"/>
      <c r="E3" s="2506" t="s">
        <v>594</v>
      </c>
      <c r="F3" s="2507"/>
    </row>
    <row r="4" spans="1:11" x14ac:dyDescent="0.2">
      <c r="A4" s="159" t="s">
        <v>595</v>
      </c>
      <c r="B4" s="23">
        <v>10677</v>
      </c>
      <c r="C4" s="160">
        <v>0.13</v>
      </c>
      <c r="D4" s="161">
        <f>B4*C4</f>
        <v>1388.01</v>
      </c>
      <c r="E4" s="160">
        <v>0.03</v>
      </c>
      <c r="F4" s="161">
        <f>B4*E4</f>
        <v>320.31</v>
      </c>
      <c r="I4" t="s">
        <v>596</v>
      </c>
      <c r="J4" s="127">
        <f>3500/B6</f>
        <v>0.22320005101715451</v>
      </c>
      <c r="K4" t="s">
        <v>597</v>
      </c>
    </row>
    <row r="5" spans="1:11" x14ac:dyDescent="0.2">
      <c r="A5" s="159" t="s">
        <v>598</v>
      </c>
      <c r="B5" s="23">
        <v>5004</v>
      </c>
      <c r="C5" s="160">
        <v>0.01</v>
      </c>
      <c r="D5" s="161">
        <f>B5*C5</f>
        <v>50.04</v>
      </c>
      <c r="E5" s="160">
        <v>2E-3</v>
      </c>
      <c r="F5" s="161">
        <v>0</v>
      </c>
      <c r="J5" s="127">
        <f>3500/B4</f>
        <v>0.32780743654584621</v>
      </c>
      <c r="K5" t="s">
        <v>599</v>
      </c>
    </row>
    <row r="6" spans="1:11" ht="15" x14ac:dyDescent="0.25">
      <c r="A6" s="162" t="s">
        <v>600</v>
      </c>
      <c r="B6" s="158">
        <f>SUM(B4:B5)</f>
        <v>15681</v>
      </c>
      <c r="C6" s="158"/>
      <c r="D6" s="163">
        <f>SUM(D4:D5)</f>
        <v>1438.05</v>
      </c>
      <c r="E6" s="158"/>
      <c r="F6" s="163">
        <f>SUM(F4:F5)</f>
        <v>320.31</v>
      </c>
    </row>
    <row r="7" spans="1:11" x14ac:dyDescent="0.2">
      <c r="D7" s="127">
        <f>D6/B6</f>
        <v>9.1706523818634006E-2</v>
      </c>
      <c r="F7" s="127">
        <f>F6/B6</f>
        <v>2.0426630954658503E-2</v>
      </c>
    </row>
    <row r="9" spans="1:11" ht="15.75" x14ac:dyDescent="0.25">
      <c r="A9" s="138" t="s">
        <v>601</v>
      </c>
    </row>
    <row r="10" spans="1:11" ht="15.75" x14ac:dyDescent="0.25">
      <c r="A10" s="138"/>
      <c r="E10" s="101"/>
      <c r="F10" s="101"/>
      <c r="G10" s="101"/>
    </row>
    <row r="11" spans="1:11" ht="96.75" x14ac:dyDescent="0.25">
      <c r="A11" s="141"/>
      <c r="B11" s="164" t="s">
        <v>602</v>
      </c>
      <c r="C11" s="164" t="s">
        <v>603</v>
      </c>
      <c r="D11" s="164"/>
      <c r="E11" s="164" t="s">
        <v>604</v>
      </c>
      <c r="F11" s="2"/>
      <c r="G11" s="2508" t="s">
        <v>605</v>
      </c>
      <c r="H11" s="2508"/>
      <c r="I11" s="164" t="s">
        <v>606</v>
      </c>
      <c r="J11" s="165" t="s">
        <v>607</v>
      </c>
      <c r="K11" s="166" t="s">
        <v>608</v>
      </c>
    </row>
    <row r="12" spans="1:11" ht="45" x14ac:dyDescent="0.25">
      <c r="A12" s="103"/>
      <c r="B12" s="103" t="s">
        <v>566</v>
      </c>
      <c r="C12" s="167" t="s">
        <v>542</v>
      </c>
      <c r="D12" s="167" t="s">
        <v>609</v>
      </c>
      <c r="E12" s="167" t="s">
        <v>610</v>
      </c>
      <c r="F12" s="167" t="s">
        <v>611</v>
      </c>
      <c r="G12" s="168" t="s">
        <v>612</v>
      </c>
      <c r="H12" s="168" t="s">
        <v>613</v>
      </c>
      <c r="I12" s="169" t="s">
        <v>614</v>
      </c>
      <c r="K12" s="2"/>
    </row>
    <row r="13" spans="1:11" ht="15.75" x14ac:dyDescent="0.25">
      <c r="A13" s="170" t="s">
        <v>572</v>
      </c>
      <c r="B13" s="171">
        <f>SUM(B14:B19)</f>
        <v>15681</v>
      </c>
      <c r="C13" s="172">
        <v>2314</v>
      </c>
      <c r="D13" s="172">
        <v>8368</v>
      </c>
      <c r="E13" s="172">
        <v>10677</v>
      </c>
      <c r="F13" s="173">
        <f>B13-E13</f>
        <v>5004</v>
      </c>
      <c r="G13" s="174">
        <v>0.16700000000000001</v>
      </c>
      <c r="H13" s="174">
        <v>1.4999999999999999E-2</v>
      </c>
      <c r="I13" s="175">
        <f>(G13*E13)+(F13*H13)</f>
        <v>1858.1190000000001</v>
      </c>
      <c r="K13" s="2"/>
    </row>
    <row r="14" spans="1:11" ht="15.75" x14ac:dyDescent="0.25">
      <c r="A14" s="103" t="s">
        <v>547</v>
      </c>
      <c r="B14" s="176">
        <v>1223</v>
      </c>
      <c r="C14" s="23">
        <v>91</v>
      </c>
      <c r="D14" s="23">
        <f>E14-C14</f>
        <v>591</v>
      </c>
      <c r="E14" s="23">
        <f>186+496</f>
        <v>682</v>
      </c>
      <c r="F14" s="173">
        <f t="shared" ref="F14:F19" si="0">B14-E14</f>
        <v>541</v>
      </c>
      <c r="G14" s="177">
        <v>0.35299999999999998</v>
      </c>
      <c r="H14" s="178">
        <v>0.13900000000000001</v>
      </c>
      <c r="I14" s="175">
        <f>(E14*G14)+(F14*H14)</f>
        <v>315.94499999999999</v>
      </c>
      <c r="K14" s="160">
        <f t="shared" ref="K14:K19" si="1">I14/B14</f>
        <v>0.25833605887162714</v>
      </c>
    </row>
    <row r="15" spans="1:11" ht="15.75" x14ac:dyDescent="0.25">
      <c r="A15" s="103" t="s">
        <v>548</v>
      </c>
      <c r="B15" s="176">
        <v>1997</v>
      </c>
      <c r="C15" s="23">
        <v>198</v>
      </c>
      <c r="D15" s="23">
        <f t="shared" ref="D15:D19" si="2">E15-C15</f>
        <v>804</v>
      </c>
      <c r="E15" s="23">
        <v>1002</v>
      </c>
      <c r="F15" s="173">
        <f t="shared" si="0"/>
        <v>995</v>
      </c>
      <c r="G15" s="177">
        <v>0.05</v>
      </c>
      <c r="H15" s="160">
        <v>0</v>
      </c>
      <c r="I15" s="175">
        <f t="shared" ref="I15:I18" si="3">(E15*G15)+(F15*H15)</f>
        <v>50.1</v>
      </c>
      <c r="K15" s="160">
        <f t="shared" si="1"/>
        <v>2.5087631447170758E-2</v>
      </c>
    </row>
    <row r="16" spans="1:11" ht="15.75" x14ac:dyDescent="0.25">
      <c r="A16" s="103" t="s">
        <v>549</v>
      </c>
      <c r="B16" s="176">
        <v>4225</v>
      </c>
      <c r="C16" s="23">
        <v>165</v>
      </c>
      <c r="D16" s="23">
        <f t="shared" si="2"/>
        <v>862</v>
      </c>
      <c r="E16" s="23">
        <v>1027</v>
      </c>
      <c r="F16" s="173">
        <f t="shared" si="0"/>
        <v>3198</v>
      </c>
      <c r="G16" s="177">
        <v>1.4999999999999999E-2</v>
      </c>
      <c r="H16" s="160">
        <v>0</v>
      </c>
      <c r="I16" s="175">
        <f t="shared" si="3"/>
        <v>15.404999999999999</v>
      </c>
      <c r="K16" s="177">
        <f t="shared" si="1"/>
        <v>3.6461538461538458E-3</v>
      </c>
    </row>
    <row r="17" spans="1:11" ht="15.75" x14ac:dyDescent="0.2">
      <c r="A17" s="179" t="s">
        <v>573</v>
      </c>
      <c r="B17" s="180">
        <v>5732</v>
      </c>
      <c r="C17" s="181">
        <v>312</v>
      </c>
      <c r="D17" s="181">
        <f t="shared" si="2"/>
        <v>5182</v>
      </c>
      <c r="E17" s="181">
        <v>5494</v>
      </c>
      <c r="F17" s="173">
        <f t="shared" si="0"/>
        <v>238</v>
      </c>
      <c r="G17" s="177">
        <v>4.2999999999999997E-2</v>
      </c>
      <c r="H17" s="160">
        <v>0</v>
      </c>
      <c r="I17" s="175">
        <f t="shared" si="3"/>
        <v>236.24199999999999</v>
      </c>
      <c r="K17" s="160">
        <f t="shared" si="1"/>
        <v>4.1214584787159801E-2</v>
      </c>
    </row>
    <row r="18" spans="1:11" ht="15.75" x14ac:dyDescent="0.25">
      <c r="A18" s="103" t="s">
        <v>552</v>
      </c>
      <c r="B18" s="176">
        <v>1497</v>
      </c>
      <c r="C18" s="23">
        <v>1448</v>
      </c>
      <c r="D18" s="23">
        <f t="shared" si="2"/>
        <v>20</v>
      </c>
      <c r="E18" s="23">
        <v>1468</v>
      </c>
      <c r="F18" s="173">
        <f t="shared" si="0"/>
        <v>29</v>
      </c>
      <c r="G18" s="177">
        <v>0.25</v>
      </c>
      <c r="H18" s="160"/>
      <c r="I18" s="175">
        <f t="shared" si="3"/>
        <v>367</v>
      </c>
      <c r="K18" s="160">
        <f t="shared" si="1"/>
        <v>0.24515698062792252</v>
      </c>
    </row>
    <row r="19" spans="1:11" ht="45" x14ac:dyDescent="0.2">
      <c r="A19" s="182" t="s">
        <v>553</v>
      </c>
      <c r="B19" s="176">
        <v>1007</v>
      </c>
      <c r="C19" s="183">
        <v>100</v>
      </c>
      <c r="D19" s="183">
        <f t="shared" si="2"/>
        <v>904</v>
      </c>
      <c r="E19" s="183">
        <v>1004</v>
      </c>
      <c r="F19" s="173">
        <f t="shared" si="0"/>
        <v>3</v>
      </c>
      <c r="G19" s="177">
        <v>0.28499999999999998</v>
      </c>
      <c r="H19" s="160">
        <v>7.0000000000000007E-2</v>
      </c>
      <c r="I19" s="175">
        <f>(G19*D19)+(0.499*C19)+H19*F19</f>
        <v>307.74999999999994</v>
      </c>
      <c r="J19" s="184" t="s">
        <v>615</v>
      </c>
      <c r="K19" s="160">
        <f t="shared" si="1"/>
        <v>0.30561072492552127</v>
      </c>
    </row>
    <row r="20" spans="1:11" x14ac:dyDescent="0.2">
      <c r="I20" s="185">
        <f>SUM(I14:I19)</f>
        <v>1292.442</v>
      </c>
    </row>
  </sheetData>
  <mergeCells count="3">
    <mergeCell ref="C3:D3"/>
    <mergeCell ref="E3:F3"/>
    <mergeCell ref="G11:H11"/>
  </mergeCells>
  <pageMargins left="0.7" right="0.7" top="0.75" bottom="0.75" header="0.3" footer="0.3"/>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K14"/>
  <sheetViews>
    <sheetView topLeftCell="A4" workbookViewId="0">
      <selection activeCell="B34" sqref="B34"/>
    </sheetView>
  </sheetViews>
  <sheetFormatPr defaultColWidth="8.85546875" defaultRowHeight="12.75" x14ac:dyDescent="0.2"/>
  <cols>
    <col min="5" max="5" width="14" customWidth="1"/>
  </cols>
  <sheetData>
    <row r="4" spans="1:11" ht="15" x14ac:dyDescent="0.25">
      <c r="A4" s="146" t="s">
        <v>585</v>
      </c>
      <c r="B4" s="146"/>
      <c r="C4" s="146"/>
      <c r="D4" s="146"/>
      <c r="E4" s="146"/>
      <c r="F4" s="146"/>
      <c r="G4" s="146"/>
      <c r="H4" s="146"/>
    </row>
    <row r="6" spans="1:11" ht="15" x14ac:dyDescent="0.25">
      <c r="A6" s="2509">
        <v>2016</v>
      </c>
      <c r="B6" s="2509"/>
      <c r="C6" s="2509"/>
      <c r="D6" s="2509"/>
      <c r="E6" s="2509"/>
      <c r="F6" s="2509"/>
      <c r="G6" s="2509"/>
      <c r="H6" s="2509"/>
      <c r="I6" s="2509"/>
      <c r="J6" s="23"/>
      <c r="K6" s="23"/>
    </row>
    <row r="7" spans="1:11" ht="77.25" x14ac:dyDescent="0.25">
      <c r="A7" s="147"/>
      <c r="B7" s="148" t="s">
        <v>566</v>
      </c>
      <c r="C7" s="149" t="s">
        <v>567</v>
      </c>
      <c r="D7" s="149"/>
      <c r="E7" s="150" t="s">
        <v>586</v>
      </c>
      <c r="F7" s="150"/>
      <c r="G7" s="150" t="s">
        <v>587</v>
      </c>
      <c r="H7" s="150" t="s">
        <v>181</v>
      </c>
      <c r="I7" s="150" t="s">
        <v>588</v>
      </c>
      <c r="J7" s="151" t="s">
        <v>589</v>
      </c>
      <c r="K7" s="151" t="s">
        <v>590</v>
      </c>
    </row>
    <row r="8" spans="1:11" ht="15.75" x14ac:dyDescent="0.25">
      <c r="A8" s="107" t="s">
        <v>572</v>
      </c>
      <c r="B8" s="58">
        <f>SUM(B9:B14)</f>
        <v>15681</v>
      </c>
      <c r="C8" s="58">
        <f t="shared" ref="C8" si="0">SUM(C9:C14)</f>
        <v>13688</v>
      </c>
      <c r="D8" s="58"/>
      <c r="E8" s="152">
        <f>SUM(E9:E14)</f>
        <v>11634.8</v>
      </c>
      <c r="F8" s="152"/>
      <c r="G8" s="152"/>
      <c r="H8" s="153">
        <f>SUM(H9:H14)</f>
        <v>6864.5320000000002</v>
      </c>
      <c r="I8" s="154">
        <f>SUM(I9:I14)</f>
        <v>698.08799999999985</v>
      </c>
      <c r="J8" s="155">
        <f>H8/B8</f>
        <v>0.43776111217396851</v>
      </c>
      <c r="K8" s="155">
        <f>I8/B8</f>
        <v>4.451807920413238E-2</v>
      </c>
    </row>
    <row r="9" spans="1:11" ht="15.75" x14ac:dyDescent="0.25">
      <c r="A9" s="107" t="s">
        <v>547</v>
      </c>
      <c r="B9" s="58">
        <v>1223</v>
      </c>
      <c r="C9" s="58">
        <v>1223</v>
      </c>
      <c r="D9" s="58"/>
      <c r="E9" s="152">
        <f>C9*0.85</f>
        <v>1039.55</v>
      </c>
      <c r="F9" s="152"/>
      <c r="G9" s="152">
        <f>E9*0.65</f>
        <v>675.70749999999998</v>
      </c>
      <c r="H9" s="119">
        <f>G9-I9</f>
        <v>613.33449999999993</v>
      </c>
      <c r="I9" s="156">
        <f>E9*0.06</f>
        <v>62.372999999999998</v>
      </c>
      <c r="J9" s="155">
        <f t="shared" ref="J9:J14" si="1">H9/B9</f>
        <v>0.50149999999999995</v>
      </c>
      <c r="K9" s="155">
        <f t="shared" ref="K9:K14" si="2">I9/B9</f>
        <v>5.0999999999999997E-2</v>
      </c>
    </row>
    <row r="10" spans="1:11" ht="15.75" x14ac:dyDescent="0.25">
      <c r="A10" s="107" t="s">
        <v>548</v>
      </c>
      <c r="B10" s="58">
        <v>1997</v>
      </c>
      <c r="C10" s="58">
        <v>2036</v>
      </c>
      <c r="D10" s="58"/>
      <c r="E10" s="152">
        <f t="shared" ref="E10:E14" si="3">C10*0.85</f>
        <v>1730.6</v>
      </c>
      <c r="F10" s="152"/>
      <c r="G10" s="152">
        <f t="shared" ref="G10:G14" si="4">E10*0.65</f>
        <v>1124.8899999999999</v>
      </c>
      <c r="H10" s="119">
        <f t="shared" ref="H10:H14" si="5">G10-I10</f>
        <v>1021.0539999999999</v>
      </c>
      <c r="I10" s="156">
        <f t="shared" ref="I10:I14" si="6">E10*0.06</f>
        <v>103.83599999999998</v>
      </c>
      <c r="J10" s="155">
        <f t="shared" si="1"/>
        <v>0.51129394091136693</v>
      </c>
      <c r="K10" s="155">
        <f t="shared" si="2"/>
        <v>5.1995993990986471E-2</v>
      </c>
    </row>
    <row r="11" spans="1:11" ht="15.75" x14ac:dyDescent="0.25">
      <c r="A11" s="107" t="s">
        <v>549</v>
      </c>
      <c r="B11" s="58">
        <v>4225</v>
      </c>
      <c r="C11" s="58">
        <v>2178</v>
      </c>
      <c r="D11" s="58"/>
      <c r="E11" s="152">
        <f t="shared" si="3"/>
        <v>1851.3</v>
      </c>
      <c r="F11" s="152"/>
      <c r="G11" s="152">
        <f t="shared" si="4"/>
        <v>1203.345</v>
      </c>
      <c r="H11" s="119">
        <f t="shared" si="5"/>
        <v>1092.2670000000001</v>
      </c>
      <c r="I11" s="156">
        <f t="shared" si="6"/>
        <v>111.07799999999999</v>
      </c>
      <c r="J11" s="155">
        <f t="shared" si="1"/>
        <v>0.25852473372781065</v>
      </c>
      <c r="K11" s="155">
        <f t="shared" si="2"/>
        <v>2.6290650887573961E-2</v>
      </c>
    </row>
    <row r="12" spans="1:11" ht="15.75" x14ac:dyDescent="0.25">
      <c r="A12" s="107" t="s">
        <v>573</v>
      </c>
      <c r="B12" s="58">
        <v>5732</v>
      </c>
      <c r="C12" s="58">
        <v>5492</v>
      </c>
      <c r="D12" s="58"/>
      <c r="E12" s="152">
        <f t="shared" si="3"/>
        <v>4668.2</v>
      </c>
      <c r="F12" s="152"/>
      <c r="G12" s="152">
        <f t="shared" si="4"/>
        <v>3034.33</v>
      </c>
      <c r="H12" s="119">
        <f t="shared" si="5"/>
        <v>2754.2379999999998</v>
      </c>
      <c r="I12" s="156">
        <f t="shared" si="6"/>
        <v>280.09199999999998</v>
      </c>
      <c r="J12" s="155">
        <f t="shared" si="1"/>
        <v>0.48050209351011858</v>
      </c>
      <c r="K12" s="155">
        <f t="shared" si="2"/>
        <v>4.8864619678995115E-2</v>
      </c>
    </row>
    <row r="13" spans="1:11" ht="15.75" x14ac:dyDescent="0.25">
      <c r="A13" s="107" t="s">
        <v>552</v>
      </c>
      <c r="B13" s="58">
        <v>1497</v>
      </c>
      <c r="C13" s="58">
        <v>1754</v>
      </c>
      <c r="D13" s="58"/>
      <c r="E13" s="152">
        <f t="shared" si="3"/>
        <v>1490.8999999999999</v>
      </c>
      <c r="F13" s="152"/>
      <c r="G13" s="152">
        <f t="shared" si="4"/>
        <v>969.08499999999992</v>
      </c>
      <c r="H13" s="119">
        <f t="shared" si="5"/>
        <v>879.63099999999997</v>
      </c>
      <c r="I13" s="156">
        <f t="shared" si="6"/>
        <v>89.453999999999994</v>
      </c>
      <c r="J13" s="155">
        <f t="shared" si="1"/>
        <v>0.58759585838343353</v>
      </c>
      <c r="K13" s="155">
        <f t="shared" si="2"/>
        <v>5.9755511022044086E-2</v>
      </c>
    </row>
    <row r="14" spans="1:11" ht="16.5" thickBot="1" x14ac:dyDescent="0.3">
      <c r="A14" s="120" t="s">
        <v>553</v>
      </c>
      <c r="B14" s="91">
        <v>1007</v>
      </c>
      <c r="C14" s="91">
        <v>1005</v>
      </c>
      <c r="D14" s="157"/>
      <c r="E14" s="152">
        <f t="shared" si="3"/>
        <v>854.25</v>
      </c>
      <c r="F14" s="152"/>
      <c r="G14" s="152">
        <f t="shared" si="4"/>
        <v>555.26250000000005</v>
      </c>
      <c r="H14" s="119">
        <f t="shared" si="5"/>
        <v>504.00750000000005</v>
      </c>
      <c r="I14" s="156">
        <f t="shared" si="6"/>
        <v>51.254999999999995</v>
      </c>
      <c r="J14" s="155">
        <f t="shared" si="1"/>
        <v>0.5005039721946376</v>
      </c>
      <c r="K14" s="155">
        <f t="shared" si="2"/>
        <v>5.0898709036742797E-2</v>
      </c>
    </row>
  </sheetData>
  <mergeCells count="1">
    <mergeCell ref="A6:I6"/>
  </mergeCells>
  <pageMargins left="0.7" right="0.7" top="0.75" bottom="0.75" header="0.3" footer="0.3"/>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3"/>
  <sheetViews>
    <sheetView topLeftCell="A59" zoomScale="85" zoomScaleNormal="85" zoomScalePageLayoutView="85" workbookViewId="0">
      <selection activeCell="J73" sqref="J73"/>
    </sheetView>
  </sheetViews>
  <sheetFormatPr defaultColWidth="10.140625" defaultRowHeight="12.75" x14ac:dyDescent="0.2"/>
  <cols>
    <col min="1" max="1" width="10.140625" style="1580"/>
    <col min="2" max="3" width="10.28515625" style="1580" bestFit="1" customWidth="1"/>
    <col min="4" max="4" width="10.7109375" style="1580" bestFit="1" customWidth="1"/>
    <col min="5" max="6" width="10.28515625" style="1580" bestFit="1" customWidth="1"/>
    <col min="7" max="7" width="10.7109375" style="1580" bestFit="1" customWidth="1"/>
    <col min="8" max="8" width="10.28515625" style="1580" bestFit="1" customWidth="1"/>
    <col min="9" max="10" width="8.42578125" style="1580" bestFit="1" customWidth="1"/>
    <col min="11" max="13" width="10.42578125" style="1580" bestFit="1" customWidth="1"/>
    <col min="14" max="14" width="10.28515625" style="1580" bestFit="1" customWidth="1"/>
    <col min="15" max="15" width="11.28515625" style="1580" bestFit="1" customWidth="1"/>
    <col min="16" max="18" width="10.140625" style="1580"/>
    <col min="19" max="22" width="10.28515625" style="1580" bestFit="1" customWidth="1"/>
    <col min="23" max="23" width="11.28515625" style="1580" bestFit="1" customWidth="1"/>
    <col min="24" max="24" width="10.28515625" style="1580" bestFit="1" customWidth="1"/>
    <col min="25" max="25" width="11.28515625" style="1580" bestFit="1" customWidth="1"/>
    <col min="26" max="16384" width="10.140625" style="1580"/>
  </cols>
  <sheetData>
    <row r="1" spans="1:17" x14ac:dyDescent="0.2">
      <c r="A1" s="1579" t="s">
        <v>1004</v>
      </c>
      <c r="B1" s="1579"/>
      <c r="C1" s="1579"/>
      <c r="D1" s="1579"/>
      <c r="E1" s="1579"/>
      <c r="F1" s="1579"/>
      <c r="G1" s="1579"/>
    </row>
    <row r="2" spans="1:17" x14ac:dyDescent="0.2">
      <c r="A2" s="1579" t="s">
        <v>1005</v>
      </c>
    </row>
    <row r="3" spans="1:17" ht="16.5" thickBot="1" x14ac:dyDescent="0.3">
      <c r="A3" s="1581" t="s">
        <v>221</v>
      </c>
      <c r="B3" s="2510" t="s">
        <v>962</v>
      </c>
      <c r="C3" s="2511"/>
      <c r="D3" s="2512"/>
      <c r="E3" s="2511" t="s">
        <v>963</v>
      </c>
      <c r="F3" s="2511"/>
      <c r="G3" s="2511"/>
      <c r="H3" s="2510" t="s">
        <v>720</v>
      </c>
      <c r="I3" s="2511"/>
      <c r="J3" s="2512"/>
      <c r="K3" s="2510" t="s">
        <v>964</v>
      </c>
      <c r="L3" s="2511"/>
      <c r="M3" s="2512"/>
      <c r="O3" s="1582"/>
      <c r="P3" s="1582"/>
      <c r="Q3" s="1582"/>
    </row>
    <row r="4" spans="1:17" ht="15.75" x14ac:dyDescent="0.25">
      <c r="A4" s="1583"/>
      <c r="B4" s="1584" t="s">
        <v>69</v>
      </c>
      <c r="C4" s="1585" t="s">
        <v>70</v>
      </c>
      <c r="D4" s="1586" t="s">
        <v>68</v>
      </c>
      <c r="E4" s="1587" t="s">
        <v>69</v>
      </c>
      <c r="F4" s="1585" t="s">
        <v>70</v>
      </c>
      <c r="G4" s="1583" t="s">
        <v>68</v>
      </c>
      <c r="H4" s="1584" t="s">
        <v>69</v>
      </c>
      <c r="I4" s="1585" t="s">
        <v>70</v>
      </c>
      <c r="J4" s="1586" t="s">
        <v>68</v>
      </c>
      <c r="K4" s="1584" t="s">
        <v>69</v>
      </c>
      <c r="L4" s="1585" t="s">
        <v>70</v>
      </c>
      <c r="M4" s="1586" t="s">
        <v>68</v>
      </c>
      <c r="O4" s="1588"/>
      <c r="P4" s="1589"/>
      <c r="Q4" s="1588"/>
    </row>
    <row r="5" spans="1:17" x14ac:dyDescent="0.2">
      <c r="A5" s="1590" t="s">
        <v>547</v>
      </c>
      <c r="B5" s="1591">
        <v>8253</v>
      </c>
      <c r="C5" s="1592">
        <v>7618</v>
      </c>
      <c r="D5" s="1593">
        <f t="shared" ref="D5:D10" si="0">SUM(B5:C5)</f>
        <v>15871</v>
      </c>
      <c r="E5" s="1591">
        <v>13149</v>
      </c>
      <c r="F5" s="1592">
        <v>12126</v>
      </c>
      <c r="G5" s="1594">
        <f t="shared" ref="G5:G10" si="1">SUM(E5:F5)</f>
        <v>25275</v>
      </c>
      <c r="H5" s="1595">
        <f t="shared" ref="H5:J10" si="2">E5-B5</f>
        <v>4896</v>
      </c>
      <c r="I5" s="1596">
        <f t="shared" si="2"/>
        <v>4508</v>
      </c>
      <c r="J5" s="1593">
        <f t="shared" si="2"/>
        <v>9404</v>
      </c>
      <c r="K5" s="1597">
        <f t="shared" ref="K5:M11" si="3">H5/B5</f>
        <v>0.59323882224645585</v>
      </c>
      <c r="L5" s="1598">
        <f t="shared" si="3"/>
        <v>0.59175636650039376</v>
      </c>
      <c r="M5" s="1599">
        <f t="shared" si="3"/>
        <v>0.592527250960872</v>
      </c>
      <c r="O5" s="1600"/>
      <c r="P5" s="1600"/>
      <c r="Q5" s="1600"/>
    </row>
    <row r="6" spans="1:17" x14ac:dyDescent="0.2">
      <c r="A6" s="1590" t="s">
        <v>548</v>
      </c>
      <c r="B6" s="1591">
        <v>110381</v>
      </c>
      <c r="C6" s="1592">
        <v>73494</v>
      </c>
      <c r="D6" s="1593">
        <f t="shared" si="0"/>
        <v>183875</v>
      </c>
      <c r="E6" s="1591">
        <v>102922</v>
      </c>
      <c r="F6" s="1592">
        <v>70094</v>
      </c>
      <c r="G6" s="1594">
        <f t="shared" si="1"/>
        <v>173016</v>
      </c>
      <c r="H6" s="1595">
        <f t="shared" si="2"/>
        <v>-7459</v>
      </c>
      <c r="I6" s="1596">
        <f t="shared" si="2"/>
        <v>-3400</v>
      </c>
      <c r="J6" s="1593">
        <f t="shared" si="2"/>
        <v>-10859</v>
      </c>
      <c r="K6" s="1597">
        <f t="shared" si="3"/>
        <v>-6.7575035558655933E-2</v>
      </c>
      <c r="L6" s="1598">
        <f t="shared" si="3"/>
        <v>-4.6262279914006582E-2</v>
      </c>
      <c r="M6" s="1599">
        <f t="shared" si="3"/>
        <v>-5.9056424201223659E-2</v>
      </c>
      <c r="O6" s="1600"/>
      <c r="P6" s="1600"/>
      <c r="Q6" s="1600"/>
    </row>
    <row r="7" spans="1:17" x14ac:dyDescent="0.2">
      <c r="A7" s="1601" t="s">
        <v>549</v>
      </c>
      <c r="B7" s="1591">
        <v>157845</v>
      </c>
      <c r="C7" s="1592">
        <v>143580</v>
      </c>
      <c r="D7" s="1593">
        <f t="shared" si="0"/>
        <v>301425</v>
      </c>
      <c r="E7" s="1591">
        <v>184956</v>
      </c>
      <c r="F7" s="1592">
        <v>165866</v>
      </c>
      <c r="G7" s="1594">
        <f t="shared" si="1"/>
        <v>350822</v>
      </c>
      <c r="H7" s="1602">
        <f t="shared" si="2"/>
        <v>27111</v>
      </c>
      <c r="I7" s="1603">
        <f t="shared" si="2"/>
        <v>22286</v>
      </c>
      <c r="J7" s="1604">
        <f t="shared" si="2"/>
        <v>49397</v>
      </c>
      <c r="K7" s="1605">
        <f t="shared" si="3"/>
        <v>0.17175710348759859</v>
      </c>
      <c r="L7" s="1606">
        <f t="shared" si="3"/>
        <v>0.15521660398384177</v>
      </c>
      <c r="M7" s="1607">
        <f t="shared" si="3"/>
        <v>0.16387824500290288</v>
      </c>
      <c r="O7" s="1600"/>
      <c r="P7" s="1600"/>
      <c r="Q7" s="1600"/>
    </row>
    <row r="8" spans="1:17" x14ac:dyDescent="0.2">
      <c r="A8" s="1601" t="s">
        <v>573</v>
      </c>
      <c r="B8" s="1591">
        <v>102089</v>
      </c>
      <c r="C8" s="1592">
        <v>96043</v>
      </c>
      <c r="D8" s="1593">
        <f t="shared" si="0"/>
        <v>198132</v>
      </c>
      <c r="E8" s="1591">
        <v>114413</v>
      </c>
      <c r="F8" s="1592">
        <v>110998</v>
      </c>
      <c r="G8" s="1608">
        <f t="shared" si="1"/>
        <v>225411</v>
      </c>
      <c r="H8" s="1602">
        <f t="shared" si="2"/>
        <v>12324</v>
      </c>
      <c r="I8" s="1603">
        <f t="shared" si="2"/>
        <v>14955</v>
      </c>
      <c r="J8" s="1604">
        <f t="shared" si="2"/>
        <v>27279</v>
      </c>
      <c r="K8" s="1605">
        <f t="shared" si="3"/>
        <v>0.12071819686743919</v>
      </c>
      <c r="L8" s="1606">
        <f t="shared" si="3"/>
        <v>0.1557115042220672</v>
      </c>
      <c r="M8" s="1607">
        <f t="shared" si="3"/>
        <v>0.13768093997940767</v>
      </c>
      <c r="O8" s="1600"/>
      <c r="P8" s="1600"/>
      <c r="Q8" s="1600"/>
    </row>
    <row r="9" spans="1:17" x14ac:dyDescent="0.2">
      <c r="A9" s="1601" t="s">
        <v>552</v>
      </c>
      <c r="B9" s="1591">
        <v>169401</v>
      </c>
      <c r="C9" s="1592">
        <v>156231</v>
      </c>
      <c r="D9" s="1593">
        <f t="shared" si="0"/>
        <v>325632</v>
      </c>
      <c r="E9" s="1591">
        <v>188395</v>
      </c>
      <c r="F9" s="1592">
        <v>175708</v>
      </c>
      <c r="G9" s="1608">
        <f t="shared" si="1"/>
        <v>364103</v>
      </c>
      <c r="H9" s="1602">
        <f t="shared" si="2"/>
        <v>18994</v>
      </c>
      <c r="I9" s="1603">
        <f t="shared" si="2"/>
        <v>19477</v>
      </c>
      <c r="J9" s="1604">
        <f t="shared" si="2"/>
        <v>38471</v>
      </c>
      <c r="K9" s="1605">
        <f t="shared" si="3"/>
        <v>0.11212448568780586</v>
      </c>
      <c r="L9" s="1606">
        <f t="shared" si="3"/>
        <v>0.12466795962389027</v>
      </c>
      <c r="M9" s="1607">
        <f t="shared" si="3"/>
        <v>0.11814256584119497</v>
      </c>
      <c r="O9" s="1600"/>
      <c r="P9" s="1600"/>
      <c r="Q9" s="1600"/>
    </row>
    <row r="10" spans="1:17" ht="13.5" thickBot="1" x14ac:dyDescent="0.25">
      <c r="A10" s="1601" t="s">
        <v>553</v>
      </c>
      <c r="B10" s="1591">
        <v>217988</v>
      </c>
      <c r="C10" s="1592">
        <v>227056</v>
      </c>
      <c r="D10" s="1593">
        <f t="shared" si="0"/>
        <v>445044</v>
      </c>
      <c r="E10" s="1591">
        <v>228016</v>
      </c>
      <c r="F10" s="1592">
        <v>234268</v>
      </c>
      <c r="G10" s="1608">
        <f t="shared" si="1"/>
        <v>462284</v>
      </c>
      <c r="H10" s="1602">
        <f t="shared" si="2"/>
        <v>10028</v>
      </c>
      <c r="I10" s="1603">
        <f t="shared" si="2"/>
        <v>7212</v>
      </c>
      <c r="J10" s="1604">
        <f t="shared" si="2"/>
        <v>17240</v>
      </c>
      <c r="K10" s="1605">
        <f t="shared" si="3"/>
        <v>4.6002532249481622E-2</v>
      </c>
      <c r="L10" s="1606">
        <f t="shared" si="3"/>
        <v>3.1763089281939258E-2</v>
      </c>
      <c r="M10" s="1607">
        <f t="shared" si="3"/>
        <v>3.8737742784983056E-2</v>
      </c>
      <c r="O10" s="1600"/>
      <c r="P10" s="1600"/>
      <c r="Q10" s="1600"/>
    </row>
    <row r="11" spans="1:17" ht="14.25" thickTop="1" thickBot="1" x14ac:dyDescent="0.25">
      <c r="A11" s="1581" t="s">
        <v>68</v>
      </c>
      <c r="B11" s="1609">
        <f t="shared" ref="B11:J11" si="4">SUM(B5:B10)</f>
        <v>765957</v>
      </c>
      <c r="C11" s="1610">
        <f t="shared" si="4"/>
        <v>704022</v>
      </c>
      <c r="D11" s="1611">
        <f t="shared" si="4"/>
        <v>1469979</v>
      </c>
      <c r="E11" s="1612">
        <f t="shared" si="4"/>
        <v>831851</v>
      </c>
      <c r="F11" s="1610">
        <f t="shared" si="4"/>
        <v>769060</v>
      </c>
      <c r="G11" s="1613">
        <f t="shared" si="4"/>
        <v>1600911</v>
      </c>
      <c r="H11" s="1609">
        <f t="shared" si="4"/>
        <v>65894</v>
      </c>
      <c r="I11" s="1613">
        <f t="shared" si="4"/>
        <v>65038</v>
      </c>
      <c r="J11" s="1614">
        <f t="shared" si="4"/>
        <v>130932</v>
      </c>
      <c r="K11" s="1615">
        <f t="shared" si="3"/>
        <v>8.6028327960969084E-2</v>
      </c>
      <c r="L11" s="1616">
        <f t="shared" si="3"/>
        <v>9.2380635832402969E-2</v>
      </c>
      <c r="M11" s="1617">
        <f t="shared" si="3"/>
        <v>8.9070660193104806E-2</v>
      </c>
    </row>
    <row r="12" spans="1:17" x14ac:dyDescent="0.2">
      <c r="A12" s="1618"/>
      <c r="B12" s="1619"/>
      <c r="C12" s="1619"/>
      <c r="D12" s="1619"/>
      <c r="E12" s="1619"/>
      <c r="F12" s="1619"/>
      <c r="G12" s="1619"/>
      <c r="H12" s="1619"/>
      <c r="I12" s="1619"/>
      <c r="J12" s="1620"/>
      <c r="K12" s="1621"/>
      <c r="L12" s="1621"/>
      <c r="M12" s="1621"/>
    </row>
    <row r="13" spans="1:17" x14ac:dyDescent="0.2">
      <c r="A13" s="1622" t="s">
        <v>1006</v>
      </c>
      <c r="B13" s="1620"/>
      <c r="C13" s="1620"/>
      <c r="D13" s="1619"/>
      <c r="E13" s="1619"/>
      <c r="F13" s="1619"/>
      <c r="G13" s="1619"/>
      <c r="H13" s="1619"/>
      <c r="I13" s="1619"/>
      <c r="J13" s="1620"/>
      <c r="K13" s="1621"/>
      <c r="L13" s="1621"/>
      <c r="M13" s="1621"/>
    </row>
    <row r="14" spans="1:17" x14ac:dyDescent="0.2">
      <c r="A14" s="1579" t="s">
        <v>1005</v>
      </c>
      <c r="B14" s="1579"/>
      <c r="C14" s="1579"/>
    </row>
    <row r="15" spans="1:17" ht="13.5" thickBot="1" x14ac:dyDescent="0.25">
      <c r="A15" s="1581" t="s">
        <v>221</v>
      </c>
      <c r="B15" s="2510" t="s">
        <v>963</v>
      </c>
      <c r="C15" s="2511"/>
      <c r="D15" s="2512"/>
      <c r="E15" s="2511" t="s">
        <v>965</v>
      </c>
      <c r="F15" s="2511"/>
      <c r="G15" s="2511"/>
      <c r="H15" s="2510" t="s">
        <v>720</v>
      </c>
      <c r="I15" s="2511"/>
      <c r="J15" s="2512"/>
      <c r="K15" s="2510" t="s">
        <v>964</v>
      </c>
      <c r="L15" s="2511"/>
      <c r="M15" s="2512"/>
    </row>
    <row r="16" spans="1:17" x14ac:dyDescent="0.2">
      <c r="A16" s="1583"/>
      <c r="B16" s="1584" t="s">
        <v>69</v>
      </c>
      <c r="C16" s="1585" t="s">
        <v>70</v>
      </c>
      <c r="D16" s="1586" t="s">
        <v>68</v>
      </c>
      <c r="E16" s="1587" t="s">
        <v>69</v>
      </c>
      <c r="F16" s="1585" t="s">
        <v>70</v>
      </c>
      <c r="G16" s="1583" t="s">
        <v>68</v>
      </c>
      <c r="H16" s="1584" t="s">
        <v>69</v>
      </c>
      <c r="I16" s="1585" t="s">
        <v>70</v>
      </c>
      <c r="J16" s="1586" t="s">
        <v>68</v>
      </c>
      <c r="K16" s="1584" t="s">
        <v>69</v>
      </c>
      <c r="L16" s="1585" t="s">
        <v>70</v>
      </c>
      <c r="M16" s="1586" t="s">
        <v>68</v>
      </c>
    </row>
    <row r="17" spans="1:13" x14ac:dyDescent="0.2">
      <c r="A17" s="1590" t="s">
        <v>547</v>
      </c>
      <c r="B17" s="1623">
        <f t="shared" ref="B17:C22" si="5">E5</f>
        <v>13149</v>
      </c>
      <c r="C17" s="1624">
        <f t="shared" si="5"/>
        <v>12126</v>
      </c>
      <c r="D17" s="1593">
        <f t="shared" ref="D17:D22" si="6">SUM(B17:C17)</f>
        <v>25275</v>
      </c>
      <c r="E17" s="1591">
        <v>14574</v>
      </c>
      <c r="F17" s="1592">
        <v>13094</v>
      </c>
      <c r="G17" s="1608">
        <f t="shared" ref="G17:G22" si="7">SUM(E17:F17)</f>
        <v>27668</v>
      </c>
      <c r="H17" s="1595">
        <f t="shared" ref="H17:J22" si="8">E17-B17</f>
        <v>1425</v>
      </c>
      <c r="I17" s="1596">
        <f t="shared" si="8"/>
        <v>968</v>
      </c>
      <c r="J17" s="1593">
        <f t="shared" si="8"/>
        <v>2393</v>
      </c>
      <c r="K17" s="1597">
        <f t="shared" ref="K17:M23" si="9">H17/B17</f>
        <v>0.10837326032397901</v>
      </c>
      <c r="L17" s="1598">
        <f t="shared" si="9"/>
        <v>7.9828467755236679E-2</v>
      </c>
      <c r="M17" s="1599">
        <f t="shared" si="9"/>
        <v>9.4678536102868444E-2</v>
      </c>
    </row>
    <row r="18" spans="1:13" x14ac:dyDescent="0.2">
      <c r="A18" s="1590" t="s">
        <v>548</v>
      </c>
      <c r="B18" s="1623">
        <f t="shared" si="5"/>
        <v>102922</v>
      </c>
      <c r="C18" s="1624">
        <f t="shared" si="5"/>
        <v>70094</v>
      </c>
      <c r="D18" s="1593">
        <f t="shared" si="6"/>
        <v>173016</v>
      </c>
      <c r="E18" s="1591">
        <v>118015</v>
      </c>
      <c r="F18" s="1592">
        <v>90734</v>
      </c>
      <c r="G18" s="1608">
        <f t="shared" si="7"/>
        <v>208749</v>
      </c>
      <c r="H18" s="1595">
        <f t="shared" si="8"/>
        <v>15093</v>
      </c>
      <c r="I18" s="1596">
        <f t="shared" si="8"/>
        <v>20640</v>
      </c>
      <c r="J18" s="1593">
        <f t="shared" si="8"/>
        <v>35733</v>
      </c>
      <c r="K18" s="1597">
        <f t="shared" si="9"/>
        <v>0.14664503216027672</v>
      </c>
      <c r="L18" s="1598">
        <f t="shared" si="9"/>
        <v>0.29446172282934346</v>
      </c>
      <c r="M18" s="1599">
        <f t="shared" si="9"/>
        <v>0.20653003190456373</v>
      </c>
    </row>
    <row r="19" spans="1:13" x14ac:dyDescent="0.2">
      <c r="A19" s="1601" t="s">
        <v>549</v>
      </c>
      <c r="B19" s="1623">
        <f t="shared" si="5"/>
        <v>184956</v>
      </c>
      <c r="C19" s="1624">
        <f t="shared" si="5"/>
        <v>165866</v>
      </c>
      <c r="D19" s="1593">
        <f t="shared" si="6"/>
        <v>350822</v>
      </c>
      <c r="E19" s="1591">
        <v>176421</v>
      </c>
      <c r="F19" s="1592">
        <v>156678</v>
      </c>
      <c r="G19" s="1608">
        <f t="shared" si="7"/>
        <v>333099</v>
      </c>
      <c r="H19" s="1602">
        <f t="shared" si="8"/>
        <v>-8535</v>
      </c>
      <c r="I19" s="1603">
        <f t="shared" si="8"/>
        <v>-9188</v>
      </c>
      <c r="J19" s="1604">
        <f t="shared" si="8"/>
        <v>-17723</v>
      </c>
      <c r="K19" s="1605">
        <f t="shared" si="9"/>
        <v>-4.6146110426263542E-2</v>
      </c>
      <c r="L19" s="1606">
        <f t="shared" si="9"/>
        <v>-5.539411332039116E-2</v>
      </c>
      <c r="M19" s="1607">
        <f t="shared" si="9"/>
        <v>-5.051849655950881E-2</v>
      </c>
    </row>
    <row r="20" spans="1:13" x14ac:dyDescent="0.2">
      <c r="A20" s="1601" t="s">
        <v>573</v>
      </c>
      <c r="B20" s="1623">
        <f t="shared" si="5"/>
        <v>114413</v>
      </c>
      <c r="C20" s="1624">
        <f t="shared" si="5"/>
        <v>110998</v>
      </c>
      <c r="D20" s="1593">
        <f t="shared" si="6"/>
        <v>225411</v>
      </c>
      <c r="E20" s="1591">
        <v>121754</v>
      </c>
      <c r="F20" s="1592">
        <v>117644</v>
      </c>
      <c r="G20" s="1608">
        <f t="shared" si="7"/>
        <v>239398</v>
      </c>
      <c r="H20" s="1602">
        <f t="shared" si="8"/>
        <v>7341</v>
      </c>
      <c r="I20" s="1603">
        <f t="shared" si="8"/>
        <v>6646</v>
      </c>
      <c r="J20" s="1604">
        <f t="shared" si="8"/>
        <v>13987</v>
      </c>
      <c r="K20" s="1605">
        <f t="shared" si="9"/>
        <v>6.4162289250347421E-2</v>
      </c>
      <c r="L20" s="1606">
        <f t="shared" si="9"/>
        <v>5.9874952701850483E-2</v>
      </c>
      <c r="M20" s="1607">
        <f t="shared" si="9"/>
        <v>6.2051097772513317E-2</v>
      </c>
    </row>
    <row r="21" spans="1:13" x14ac:dyDescent="0.2">
      <c r="A21" s="1601" t="s">
        <v>552</v>
      </c>
      <c r="B21" s="1623">
        <f t="shared" si="5"/>
        <v>188395</v>
      </c>
      <c r="C21" s="1624">
        <f t="shared" si="5"/>
        <v>175708</v>
      </c>
      <c r="D21" s="1593">
        <f t="shared" si="6"/>
        <v>364103</v>
      </c>
      <c r="E21" s="1591">
        <v>220048</v>
      </c>
      <c r="F21" s="1592">
        <v>208578</v>
      </c>
      <c r="G21" s="1608">
        <f t="shared" si="7"/>
        <v>428626</v>
      </c>
      <c r="H21" s="1602">
        <f t="shared" si="8"/>
        <v>31653</v>
      </c>
      <c r="I21" s="1603">
        <f t="shared" si="8"/>
        <v>32870</v>
      </c>
      <c r="J21" s="1604">
        <f t="shared" si="8"/>
        <v>64523</v>
      </c>
      <c r="K21" s="1605">
        <f t="shared" si="9"/>
        <v>0.16801401311075134</v>
      </c>
      <c r="L21" s="1606">
        <f t="shared" si="9"/>
        <v>0.18707173264734672</v>
      </c>
      <c r="M21" s="1607">
        <f t="shared" si="9"/>
        <v>0.17721084418420063</v>
      </c>
    </row>
    <row r="22" spans="1:13" ht="13.5" thickBot="1" x14ac:dyDescent="0.25">
      <c r="A22" s="1601" t="s">
        <v>553</v>
      </c>
      <c r="B22" s="1623">
        <f t="shared" si="5"/>
        <v>228016</v>
      </c>
      <c r="C22" s="1624">
        <f t="shared" si="5"/>
        <v>234268</v>
      </c>
      <c r="D22" s="1593">
        <f t="shared" si="6"/>
        <v>462284</v>
      </c>
      <c r="E22" s="1591">
        <v>226667</v>
      </c>
      <c r="F22" s="1592">
        <v>233903</v>
      </c>
      <c r="G22" s="1608">
        <f t="shared" si="7"/>
        <v>460570</v>
      </c>
      <c r="H22" s="1602">
        <f t="shared" si="8"/>
        <v>-1349</v>
      </c>
      <c r="I22" s="1603">
        <f t="shared" si="8"/>
        <v>-365</v>
      </c>
      <c r="J22" s="1604">
        <f t="shared" si="8"/>
        <v>-1714</v>
      </c>
      <c r="K22" s="1605">
        <f t="shared" si="9"/>
        <v>-5.9162514911234301E-3</v>
      </c>
      <c r="L22" s="1606">
        <f t="shared" si="9"/>
        <v>-1.558044632642956E-3</v>
      </c>
      <c r="M22" s="1607">
        <f t="shared" si="9"/>
        <v>-3.7076775315606856E-3</v>
      </c>
    </row>
    <row r="23" spans="1:13" ht="14.25" thickTop="1" thickBot="1" x14ac:dyDescent="0.25">
      <c r="A23" s="1581" t="s">
        <v>68</v>
      </c>
      <c r="B23" s="1609">
        <f t="shared" ref="B23:J23" si="10">SUM(B17:B22)</f>
        <v>831851</v>
      </c>
      <c r="C23" s="1610">
        <f t="shared" si="10"/>
        <v>769060</v>
      </c>
      <c r="D23" s="1611">
        <f t="shared" si="10"/>
        <v>1600911</v>
      </c>
      <c r="E23" s="1610">
        <f t="shared" si="10"/>
        <v>877479</v>
      </c>
      <c r="F23" s="1610">
        <f t="shared" si="10"/>
        <v>820631</v>
      </c>
      <c r="G23" s="1613">
        <f t="shared" si="10"/>
        <v>1698110</v>
      </c>
      <c r="H23" s="1609">
        <f t="shared" si="10"/>
        <v>45628</v>
      </c>
      <c r="I23" s="1613">
        <f t="shared" si="10"/>
        <v>51571</v>
      </c>
      <c r="J23" s="1614">
        <f t="shared" si="10"/>
        <v>97199</v>
      </c>
      <c r="K23" s="1615">
        <f t="shared" si="9"/>
        <v>5.485116925987947E-2</v>
      </c>
      <c r="L23" s="1616">
        <f t="shared" si="9"/>
        <v>6.7057186695446386E-2</v>
      </c>
      <c r="M23" s="1617">
        <f t="shared" si="9"/>
        <v>6.07148055076141E-2</v>
      </c>
    </row>
    <row r="24" spans="1:13" x14ac:dyDescent="0.2">
      <c r="A24" s="1618"/>
      <c r="B24" s="1619"/>
      <c r="C24" s="1619"/>
      <c r="D24" s="1619"/>
      <c r="E24" s="1619"/>
      <c r="F24" s="1619"/>
      <c r="G24" s="1619"/>
      <c r="H24" s="1619"/>
      <c r="I24" s="1619"/>
      <c r="J24" s="1620"/>
      <c r="K24" s="1621"/>
      <c r="L24" s="1621"/>
      <c r="M24" s="1621"/>
    </row>
    <row r="25" spans="1:13" x14ac:dyDescent="0.2">
      <c r="A25" s="1622" t="s">
        <v>1007</v>
      </c>
      <c r="B25" s="1620"/>
      <c r="C25" s="1620"/>
      <c r="D25" s="1619"/>
      <c r="E25" s="1619"/>
      <c r="F25" s="1619"/>
      <c r="G25" s="1619"/>
      <c r="H25" s="1619"/>
      <c r="I25" s="1619"/>
      <c r="J25" s="1620"/>
      <c r="K25" s="1621"/>
      <c r="L25" s="1621"/>
      <c r="M25" s="1621"/>
    </row>
    <row r="26" spans="1:13" ht="13.5" thickBot="1" x14ac:dyDescent="0.25">
      <c r="A26" s="1579" t="s">
        <v>1005</v>
      </c>
      <c r="B26" s="1579"/>
      <c r="C26" s="1579"/>
    </row>
    <row r="27" spans="1:13" ht="13.5" thickBot="1" x14ac:dyDescent="0.25">
      <c r="A27" s="1625" t="s">
        <v>221</v>
      </c>
      <c r="B27" s="2513" t="s">
        <v>965</v>
      </c>
      <c r="C27" s="2514"/>
      <c r="D27" s="2515"/>
      <c r="E27" s="2514" t="s">
        <v>966</v>
      </c>
      <c r="F27" s="2514"/>
      <c r="G27" s="2514"/>
      <c r="H27" s="2513" t="s">
        <v>720</v>
      </c>
      <c r="I27" s="2514"/>
      <c r="J27" s="2515"/>
      <c r="K27" s="2513" t="s">
        <v>964</v>
      </c>
      <c r="L27" s="2514"/>
      <c r="M27" s="2515"/>
    </row>
    <row r="28" spans="1:13" x14ac:dyDescent="0.2">
      <c r="A28" s="1626"/>
      <c r="B28" s="1584" t="s">
        <v>69</v>
      </c>
      <c r="C28" s="1585" t="s">
        <v>70</v>
      </c>
      <c r="D28" s="1586" t="s">
        <v>68</v>
      </c>
      <c r="E28" s="1587" t="s">
        <v>69</v>
      </c>
      <c r="F28" s="1585" t="s">
        <v>70</v>
      </c>
      <c r="G28" s="1583" t="s">
        <v>68</v>
      </c>
      <c r="H28" s="1584" t="s">
        <v>69</v>
      </c>
      <c r="I28" s="1585" t="s">
        <v>70</v>
      </c>
      <c r="J28" s="1586" t="s">
        <v>68</v>
      </c>
      <c r="K28" s="1584" t="s">
        <v>69</v>
      </c>
      <c r="L28" s="1585" t="s">
        <v>70</v>
      </c>
      <c r="M28" s="1586" t="s">
        <v>68</v>
      </c>
    </row>
    <row r="29" spans="1:13" x14ac:dyDescent="0.2">
      <c r="A29" s="1627" t="s">
        <v>547</v>
      </c>
      <c r="B29" s="1623">
        <f t="shared" ref="B29:C34" si="11">E17</f>
        <v>14574</v>
      </c>
      <c r="C29" s="1624">
        <f t="shared" si="11"/>
        <v>13094</v>
      </c>
      <c r="D29" s="1593">
        <f t="shared" ref="D29:D34" si="12">SUM(B29:C29)</f>
        <v>27668</v>
      </c>
      <c r="E29" s="1591">
        <v>17231</v>
      </c>
      <c r="F29" s="1592">
        <v>16143</v>
      </c>
      <c r="G29" s="1628">
        <f t="shared" ref="G29:G34" si="13">SUM(E29:F29)</f>
        <v>33374</v>
      </c>
      <c r="H29" s="1595">
        <f t="shared" ref="H29:J34" si="14">E29-B29</f>
        <v>2657</v>
      </c>
      <c r="I29" s="1596">
        <f t="shared" si="14"/>
        <v>3049</v>
      </c>
      <c r="J29" s="1593">
        <f t="shared" si="14"/>
        <v>5706</v>
      </c>
      <c r="K29" s="1597">
        <f t="shared" ref="K29:M35" si="15">H29/B29</f>
        <v>0.18231096473171401</v>
      </c>
      <c r="L29" s="1598">
        <f t="shared" si="15"/>
        <v>0.2328547426302123</v>
      </c>
      <c r="M29" s="1599">
        <f t="shared" si="15"/>
        <v>0.20623102501084284</v>
      </c>
    </row>
    <row r="30" spans="1:13" x14ac:dyDescent="0.2">
      <c r="A30" s="1627" t="s">
        <v>548</v>
      </c>
      <c r="B30" s="1623">
        <f t="shared" si="11"/>
        <v>118015</v>
      </c>
      <c r="C30" s="1624">
        <f t="shared" si="11"/>
        <v>90734</v>
      </c>
      <c r="D30" s="1593">
        <f t="shared" si="12"/>
        <v>208749</v>
      </c>
      <c r="E30" s="1591">
        <v>125956</v>
      </c>
      <c r="F30" s="1592">
        <v>94539</v>
      </c>
      <c r="G30" s="1628">
        <f t="shared" si="13"/>
        <v>220495</v>
      </c>
      <c r="H30" s="1595">
        <f t="shared" si="14"/>
        <v>7941</v>
      </c>
      <c r="I30" s="1596">
        <f t="shared" si="14"/>
        <v>3805</v>
      </c>
      <c r="J30" s="1593">
        <f t="shared" si="14"/>
        <v>11746</v>
      </c>
      <c r="K30" s="1597">
        <f t="shared" si="15"/>
        <v>6.7288056602974197E-2</v>
      </c>
      <c r="L30" s="1598">
        <f t="shared" si="15"/>
        <v>4.1935768289726012E-2</v>
      </c>
      <c r="M30" s="1599">
        <f t="shared" si="15"/>
        <v>5.6268533022912681E-2</v>
      </c>
    </row>
    <row r="31" spans="1:13" x14ac:dyDescent="0.2">
      <c r="A31" s="1629" t="s">
        <v>549</v>
      </c>
      <c r="B31" s="1623">
        <f t="shared" si="11"/>
        <v>176421</v>
      </c>
      <c r="C31" s="1624">
        <f t="shared" si="11"/>
        <v>156678</v>
      </c>
      <c r="D31" s="1593">
        <f t="shared" si="12"/>
        <v>333099</v>
      </c>
      <c r="E31" s="1591">
        <v>218084</v>
      </c>
      <c r="F31" s="1592">
        <v>193527</v>
      </c>
      <c r="G31" s="1628">
        <f t="shared" si="13"/>
        <v>411611</v>
      </c>
      <c r="H31" s="1602">
        <f t="shared" si="14"/>
        <v>41663</v>
      </c>
      <c r="I31" s="1603">
        <f t="shared" si="14"/>
        <v>36849</v>
      </c>
      <c r="J31" s="1604">
        <f t="shared" si="14"/>
        <v>78512</v>
      </c>
      <c r="K31" s="1605">
        <f t="shared" si="15"/>
        <v>0.23615669336416867</v>
      </c>
      <c r="L31" s="1606">
        <f t="shared" si="15"/>
        <v>0.23518936927966913</v>
      </c>
      <c r="M31" s="1607">
        <f t="shared" si="15"/>
        <v>0.23570169829390061</v>
      </c>
    </row>
    <row r="32" spans="1:13" x14ac:dyDescent="0.2">
      <c r="A32" s="1629" t="s">
        <v>573</v>
      </c>
      <c r="B32" s="1623">
        <f t="shared" si="11"/>
        <v>121754</v>
      </c>
      <c r="C32" s="1624">
        <f t="shared" si="11"/>
        <v>117644</v>
      </c>
      <c r="D32" s="1593">
        <f t="shared" si="12"/>
        <v>239398</v>
      </c>
      <c r="E32" s="1591">
        <v>136642</v>
      </c>
      <c r="F32" s="1592">
        <v>137776</v>
      </c>
      <c r="G32" s="1628">
        <f t="shared" si="13"/>
        <v>274418</v>
      </c>
      <c r="H32" s="1602">
        <f t="shared" si="14"/>
        <v>14888</v>
      </c>
      <c r="I32" s="1603">
        <f t="shared" si="14"/>
        <v>20132</v>
      </c>
      <c r="J32" s="1604">
        <f t="shared" si="14"/>
        <v>35020</v>
      </c>
      <c r="K32" s="1605">
        <f t="shared" si="15"/>
        <v>0.12227935016508698</v>
      </c>
      <c r="L32" s="1606">
        <f t="shared" si="15"/>
        <v>0.17112644928768148</v>
      </c>
      <c r="M32" s="1607">
        <f t="shared" si="15"/>
        <v>0.14628359468333069</v>
      </c>
    </row>
    <row r="33" spans="1:13" x14ac:dyDescent="0.2">
      <c r="A33" s="1629" t="s">
        <v>552</v>
      </c>
      <c r="B33" s="1623">
        <f t="shared" si="11"/>
        <v>220048</v>
      </c>
      <c r="C33" s="1624">
        <f t="shared" si="11"/>
        <v>208578</v>
      </c>
      <c r="D33" s="1593">
        <f t="shared" si="12"/>
        <v>428626</v>
      </c>
      <c r="E33" s="1591">
        <v>197864</v>
      </c>
      <c r="F33" s="1592">
        <v>184803</v>
      </c>
      <c r="G33" s="1628">
        <f t="shared" si="13"/>
        <v>382667</v>
      </c>
      <c r="H33" s="1602">
        <f t="shared" si="14"/>
        <v>-22184</v>
      </c>
      <c r="I33" s="1603">
        <f t="shared" si="14"/>
        <v>-23775</v>
      </c>
      <c r="J33" s="1604">
        <f t="shared" si="14"/>
        <v>-45959</v>
      </c>
      <c r="K33" s="1605">
        <f t="shared" si="15"/>
        <v>-0.10081436777430379</v>
      </c>
      <c r="L33" s="1606">
        <f t="shared" si="15"/>
        <v>-0.11398613468342778</v>
      </c>
      <c r="M33" s="1607">
        <f t="shared" si="15"/>
        <v>-0.10722401347561744</v>
      </c>
    </row>
    <row r="34" spans="1:13" ht="13.5" thickBot="1" x14ac:dyDescent="0.25">
      <c r="A34" s="1629" t="s">
        <v>553</v>
      </c>
      <c r="B34" s="1623">
        <f t="shared" si="11"/>
        <v>226667</v>
      </c>
      <c r="C34" s="1624">
        <f t="shared" si="11"/>
        <v>233903</v>
      </c>
      <c r="D34" s="1593">
        <f t="shared" si="12"/>
        <v>460570</v>
      </c>
      <c r="E34" s="1591">
        <v>284359</v>
      </c>
      <c r="F34" s="1592">
        <v>293971</v>
      </c>
      <c r="G34" s="1628">
        <f t="shared" si="13"/>
        <v>578330</v>
      </c>
      <c r="H34" s="1602">
        <f t="shared" si="14"/>
        <v>57692</v>
      </c>
      <c r="I34" s="1603">
        <f t="shared" si="14"/>
        <v>60068</v>
      </c>
      <c r="J34" s="1604">
        <f t="shared" si="14"/>
        <v>117760</v>
      </c>
      <c r="K34" s="1605">
        <f t="shared" si="15"/>
        <v>0.25452315511300716</v>
      </c>
      <c r="L34" s="1606">
        <f t="shared" si="15"/>
        <v>0.25680730901271037</v>
      </c>
      <c r="M34" s="1607">
        <f t="shared" si="15"/>
        <v>0.25568317519595285</v>
      </c>
    </row>
    <row r="35" spans="1:13" ht="14.25" thickTop="1" thickBot="1" x14ac:dyDescent="0.25">
      <c r="A35" s="1630" t="s">
        <v>68</v>
      </c>
      <c r="B35" s="1609">
        <f t="shared" ref="B35:J35" si="16">SUM(B29:B34)</f>
        <v>877479</v>
      </c>
      <c r="C35" s="1610">
        <f t="shared" si="16"/>
        <v>820631</v>
      </c>
      <c r="D35" s="1611">
        <f t="shared" si="16"/>
        <v>1698110</v>
      </c>
      <c r="E35" s="1631">
        <f>SUM(E29:E34)</f>
        <v>980136</v>
      </c>
      <c r="F35" s="1631">
        <f>SUM(F29:F34)</f>
        <v>920759</v>
      </c>
      <c r="G35" s="1632">
        <f t="shared" si="16"/>
        <v>1900895</v>
      </c>
      <c r="H35" s="1609">
        <f t="shared" si="16"/>
        <v>102657</v>
      </c>
      <c r="I35" s="1613">
        <f t="shared" si="16"/>
        <v>100128</v>
      </c>
      <c r="J35" s="1633">
        <f t="shared" si="16"/>
        <v>202785</v>
      </c>
      <c r="K35" s="1615">
        <f t="shared" si="15"/>
        <v>0.11699083396867617</v>
      </c>
      <c r="L35" s="1616">
        <f t="shared" si="15"/>
        <v>0.1220134262536999</v>
      </c>
      <c r="M35" s="1617">
        <f t="shared" si="15"/>
        <v>0.11941805890077792</v>
      </c>
    </row>
    <row r="36" spans="1:13" x14ac:dyDescent="0.2">
      <c r="A36" s="1618"/>
      <c r="B36" s="1619"/>
      <c r="C36" s="1619"/>
      <c r="D36" s="1619"/>
      <c r="E36" s="1619"/>
      <c r="F36" s="1619"/>
      <c r="G36" s="1619"/>
      <c r="H36" s="1619"/>
      <c r="I36" s="1619"/>
      <c r="J36" s="1620"/>
      <c r="K36" s="1621"/>
      <c r="L36" s="1621"/>
      <c r="M36" s="1621"/>
    </row>
    <row r="37" spans="1:13" x14ac:dyDescent="0.2">
      <c r="A37" s="1622" t="s">
        <v>1008</v>
      </c>
      <c r="B37" s="1620"/>
      <c r="C37" s="1620"/>
      <c r="D37" s="1619"/>
      <c r="E37" s="1619"/>
      <c r="F37" s="1619"/>
      <c r="G37" s="1619"/>
      <c r="H37" s="1619"/>
      <c r="I37" s="1619"/>
      <c r="J37" s="1620"/>
      <c r="K37" s="1621"/>
      <c r="L37" s="1621"/>
      <c r="M37" s="1621"/>
    </row>
    <row r="38" spans="1:13" ht="13.5" thickBot="1" x14ac:dyDescent="0.25">
      <c r="A38" s="1579" t="s">
        <v>1005</v>
      </c>
      <c r="B38" s="1579"/>
      <c r="C38" s="1579"/>
    </row>
    <row r="39" spans="1:13" ht="13.5" thickBot="1" x14ac:dyDescent="0.25">
      <c r="A39" s="1625" t="s">
        <v>221</v>
      </c>
      <c r="B39" s="2513" t="s">
        <v>1009</v>
      </c>
      <c r="C39" s="2514"/>
      <c r="D39" s="2515"/>
      <c r="E39" s="2514" t="s">
        <v>1010</v>
      </c>
      <c r="F39" s="2514"/>
      <c r="G39" s="2514"/>
      <c r="H39" s="2513" t="s">
        <v>720</v>
      </c>
      <c r="I39" s="2514"/>
      <c r="J39" s="2515"/>
      <c r="K39" s="2513" t="s">
        <v>964</v>
      </c>
      <c r="L39" s="2514"/>
      <c r="M39" s="2515"/>
    </row>
    <row r="40" spans="1:13" x14ac:dyDescent="0.2">
      <c r="A40" s="1634"/>
      <c r="B40" s="1587" t="s">
        <v>69</v>
      </c>
      <c r="C40" s="1585" t="s">
        <v>70</v>
      </c>
      <c r="D40" s="1586" t="s">
        <v>68</v>
      </c>
      <c r="E40" s="1587" t="s">
        <v>69</v>
      </c>
      <c r="F40" s="1585" t="s">
        <v>70</v>
      </c>
      <c r="G40" s="1583" t="s">
        <v>68</v>
      </c>
      <c r="H40" s="1584" t="s">
        <v>69</v>
      </c>
      <c r="I40" s="1585" t="s">
        <v>70</v>
      </c>
      <c r="J40" s="1586" t="s">
        <v>68</v>
      </c>
      <c r="K40" s="1584" t="s">
        <v>69</v>
      </c>
      <c r="L40" s="1585" t="s">
        <v>70</v>
      </c>
      <c r="M40" s="1586" t="s">
        <v>68</v>
      </c>
    </row>
    <row r="41" spans="1:13" x14ac:dyDescent="0.2">
      <c r="A41" s="1635" t="s">
        <v>547</v>
      </c>
      <c r="B41" s="1623">
        <f t="shared" ref="B41:C46" si="17">E29</f>
        <v>17231</v>
      </c>
      <c r="C41" s="1624">
        <f t="shared" si="17"/>
        <v>16143</v>
      </c>
      <c r="D41" s="1593">
        <f t="shared" ref="D41:D46" si="18">SUM(B41:C41)</f>
        <v>33374</v>
      </c>
      <c r="E41" s="1591">
        <v>18925</v>
      </c>
      <c r="F41" s="1592">
        <v>16216</v>
      </c>
      <c r="G41" s="1636">
        <f t="shared" ref="G41:G46" si="19">SUM(E41:F41)</f>
        <v>35141</v>
      </c>
      <c r="H41" s="1595">
        <f t="shared" ref="H41:J46" si="20">E41-B41</f>
        <v>1694</v>
      </c>
      <c r="I41" s="1596">
        <f t="shared" si="20"/>
        <v>73</v>
      </c>
      <c r="J41" s="1593">
        <f t="shared" si="20"/>
        <v>1767</v>
      </c>
      <c r="K41" s="1597">
        <f t="shared" ref="K41:M47" si="21">H41/B41</f>
        <v>9.8311183332366089E-2</v>
      </c>
      <c r="L41" s="1598">
        <f t="shared" si="21"/>
        <v>4.5220838753639346E-3</v>
      </c>
      <c r="M41" s="1599">
        <f t="shared" si="21"/>
        <v>5.2945406603943188E-2</v>
      </c>
    </row>
    <row r="42" spans="1:13" x14ac:dyDescent="0.2">
      <c r="A42" s="1635" t="s">
        <v>548</v>
      </c>
      <c r="B42" s="1623">
        <f t="shared" si="17"/>
        <v>125956</v>
      </c>
      <c r="C42" s="1624">
        <f t="shared" si="17"/>
        <v>94539</v>
      </c>
      <c r="D42" s="1593">
        <f t="shared" si="18"/>
        <v>220495</v>
      </c>
      <c r="E42" s="1591">
        <v>119102</v>
      </c>
      <c r="F42" s="1592">
        <v>97026</v>
      </c>
      <c r="G42" s="1636">
        <f t="shared" si="19"/>
        <v>216128</v>
      </c>
      <c r="H42" s="1595">
        <f t="shared" si="20"/>
        <v>-6854</v>
      </c>
      <c r="I42" s="1596">
        <f t="shared" si="20"/>
        <v>2487</v>
      </c>
      <c r="J42" s="1593">
        <f t="shared" si="20"/>
        <v>-4367</v>
      </c>
      <c r="K42" s="1597">
        <f t="shared" si="21"/>
        <v>-5.44158277493728E-2</v>
      </c>
      <c r="L42" s="1598">
        <f t="shared" si="21"/>
        <v>2.6306603623901248E-2</v>
      </c>
      <c r="M42" s="1599">
        <f t="shared" si="21"/>
        <v>-1.9805437765028685E-2</v>
      </c>
    </row>
    <row r="43" spans="1:13" x14ac:dyDescent="0.2">
      <c r="A43" s="1637" t="s">
        <v>549</v>
      </c>
      <c r="B43" s="1623">
        <f t="shared" si="17"/>
        <v>218084</v>
      </c>
      <c r="C43" s="1624">
        <f t="shared" si="17"/>
        <v>193527</v>
      </c>
      <c r="D43" s="1593">
        <f t="shared" si="18"/>
        <v>411611</v>
      </c>
      <c r="E43" s="1591">
        <v>208269</v>
      </c>
      <c r="F43" s="1592">
        <v>184403</v>
      </c>
      <c r="G43" s="1636">
        <f t="shared" si="19"/>
        <v>392672</v>
      </c>
      <c r="H43" s="1602">
        <f t="shared" si="20"/>
        <v>-9815</v>
      </c>
      <c r="I43" s="1603">
        <f t="shared" si="20"/>
        <v>-9124</v>
      </c>
      <c r="J43" s="1604">
        <f t="shared" si="20"/>
        <v>-18939</v>
      </c>
      <c r="K43" s="1605">
        <f t="shared" si="21"/>
        <v>-4.5005594174721664E-2</v>
      </c>
      <c r="L43" s="1606">
        <f t="shared" si="21"/>
        <v>-4.7145876285996272E-2</v>
      </c>
      <c r="M43" s="1607">
        <f t="shared" si="21"/>
        <v>-4.601188986688888E-2</v>
      </c>
    </row>
    <row r="44" spans="1:13" x14ac:dyDescent="0.2">
      <c r="A44" s="1637" t="s">
        <v>573</v>
      </c>
      <c r="B44" s="1623">
        <f t="shared" si="17"/>
        <v>136642</v>
      </c>
      <c r="C44" s="1624">
        <f t="shared" si="17"/>
        <v>137776</v>
      </c>
      <c r="D44" s="1593">
        <f t="shared" si="18"/>
        <v>274418</v>
      </c>
      <c r="E44" s="1591">
        <v>148024</v>
      </c>
      <c r="F44" s="1592">
        <v>147078</v>
      </c>
      <c r="G44" s="1636">
        <f t="shared" si="19"/>
        <v>295102</v>
      </c>
      <c r="H44" s="1602">
        <f t="shared" si="20"/>
        <v>11382</v>
      </c>
      <c r="I44" s="1603">
        <f t="shared" si="20"/>
        <v>9302</v>
      </c>
      <c r="J44" s="1604">
        <f t="shared" si="20"/>
        <v>20684</v>
      </c>
      <c r="K44" s="1605">
        <f t="shared" si="21"/>
        <v>8.3297961095417219E-2</v>
      </c>
      <c r="L44" s="1606">
        <f t="shared" si="21"/>
        <v>6.7515387295319945E-2</v>
      </c>
      <c r="M44" s="1607">
        <f t="shared" si="21"/>
        <v>7.5374064383531697E-2</v>
      </c>
    </row>
    <row r="45" spans="1:13" x14ac:dyDescent="0.2">
      <c r="A45" s="1637" t="s">
        <v>552</v>
      </c>
      <c r="B45" s="1623">
        <f t="shared" si="17"/>
        <v>197864</v>
      </c>
      <c r="C45" s="1624">
        <f t="shared" si="17"/>
        <v>184803</v>
      </c>
      <c r="D45" s="1593">
        <f t="shared" si="18"/>
        <v>382667</v>
      </c>
      <c r="E45" s="1591">
        <v>208887</v>
      </c>
      <c r="F45" s="1592">
        <v>196208</v>
      </c>
      <c r="G45" s="1636">
        <f t="shared" si="19"/>
        <v>405095</v>
      </c>
      <c r="H45" s="1602">
        <f t="shared" si="20"/>
        <v>11023</v>
      </c>
      <c r="I45" s="1603">
        <f t="shared" si="20"/>
        <v>11405</v>
      </c>
      <c r="J45" s="1604">
        <f t="shared" si="20"/>
        <v>22428</v>
      </c>
      <c r="K45" s="1605">
        <f t="shared" si="21"/>
        <v>5.5709982614320946E-2</v>
      </c>
      <c r="L45" s="1606">
        <f t="shared" si="21"/>
        <v>6.1714366108775287E-2</v>
      </c>
      <c r="M45" s="1607">
        <f t="shared" si="21"/>
        <v>5.8609705043810939E-2</v>
      </c>
    </row>
    <row r="46" spans="1:13" ht="13.5" thickBot="1" x14ac:dyDescent="0.25">
      <c r="A46" s="1637" t="s">
        <v>553</v>
      </c>
      <c r="B46" s="1623">
        <f t="shared" si="17"/>
        <v>284359</v>
      </c>
      <c r="C46" s="1624">
        <f t="shared" si="17"/>
        <v>293971</v>
      </c>
      <c r="D46" s="1593">
        <f t="shared" si="18"/>
        <v>578330</v>
      </c>
      <c r="E46" s="1591">
        <v>197068</v>
      </c>
      <c r="F46" s="1592">
        <v>237401</v>
      </c>
      <c r="G46" s="1636">
        <f t="shared" si="19"/>
        <v>434469</v>
      </c>
      <c r="H46" s="1602">
        <f t="shared" si="20"/>
        <v>-87291</v>
      </c>
      <c r="I46" s="1603">
        <f t="shared" si="20"/>
        <v>-56570</v>
      </c>
      <c r="J46" s="1604">
        <f t="shared" si="20"/>
        <v>-143861</v>
      </c>
      <c r="K46" s="1605">
        <f t="shared" si="21"/>
        <v>-0.30697463417721965</v>
      </c>
      <c r="L46" s="1606">
        <f t="shared" si="21"/>
        <v>-0.19243394756625654</v>
      </c>
      <c r="M46" s="1607">
        <f t="shared" si="21"/>
        <v>-0.24875244237718949</v>
      </c>
    </row>
    <row r="47" spans="1:13" ht="14.25" thickTop="1" thickBot="1" x14ac:dyDescent="0.25">
      <c r="A47" s="1638" t="s">
        <v>68</v>
      </c>
      <c r="B47" s="1612">
        <f t="shared" ref="B47:D47" si="22">SUM(B41:B46)</f>
        <v>980136</v>
      </c>
      <c r="C47" s="1610">
        <f t="shared" si="22"/>
        <v>920759</v>
      </c>
      <c r="D47" s="1611">
        <f t="shared" si="22"/>
        <v>1900895</v>
      </c>
      <c r="E47" s="1639">
        <f>SUM(E41:E46)</f>
        <v>900275</v>
      </c>
      <c r="F47" s="1639">
        <f>SUM(F41:F46)</f>
        <v>878332</v>
      </c>
      <c r="G47" s="1640">
        <f t="shared" ref="G47:J47" si="23">SUM(G41:G46)</f>
        <v>1778607</v>
      </c>
      <c r="H47" s="1609">
        <f t="shared" si="23"/>
        <v>-79861</v>
      </c>
      <c r="I47" s="1613">
        <f t="shared" si="23"/>
        <v>-42427</v>
      </c>
      <c r="J47" s="1633">
        <f t="shared" si="23"/>
        <v>-122288</v>
      </c>
      <c r="K47" s="1615">
        <f t="shared" si="21"/>
        <v>-8.1479508966102662E-2</v>
      </c>
      <c r="L47" s="1616">
        <f t="shared" si="21"/>
        <v>-4.60782897587751E-2</v>
      </c>
      <c r="M47" s="1617">
        <f t="shared" si="21"/>
        <v>-6.4331801598720609E-2</v>
      </c>
    </row>
    <row r="48" spans="1:13" s="1618" customFormat="1" x14ac:dyDescent="0.2">
      <c r="B48" s="1619"/>
      <c r="C48" s="1619"/>
      <c r="D48" s="1619"/>
      <c r="E48" s="1619"/>
      <c r="F48" s="1619"/>
      <c r="G48" s="1619"/>
      <c r="H48" s="1619"/>
      <c r="I48" s="1619"/>
      <c r="J48" s="1620"/>
      <c r="K48" s="1621"/>
      <c r="L48" s="1621"/>
      <c r="M48" s="1621"/>
    </row>
    <row r="49" spans="1:20" x14ac:dyDescent="0.2">
      <c r="A49" s="1641" t="s">
        <v>1464</v>
      </c>
      <c r="B49" s="1642"/>
      <c r="C49" s="1642"/>
      <c r="D49" s="1643"/>
      <c r="E49" s="1643"/>
      <c r="F49" s="1643"/>
      <c r="G49" s="1643"/>
      <c r="H49" s="1643"/>
      <c r="I49" s="1643"/>
      <c r="J49" s="1642"/>
      <c r="K49" s="1644"/>
      <c r="L49" s="1644"/>
      <c r="M49" s="1644"/>
    </row>
    <row r="50" spans="1:20" ht="13.5" thickBot="1" x14ac:dyDescent="0.25">
      <c r="A50" s="1645" t="s">
        <v>1005</v>
      </c>
      <c r="B50" s="1645"/>
      <c r="C50" s="1645"/>
      <c r="D50" s="1646"/>
      <c r="E50" s="1646"/>
      <c r="F50" s="1646"/>
      <c r="G50" s="1646"/>
      <c r="H50" s="1646"/>
      <c r="I50" s="1646"/>
      <c r="J50" s="1646"/>
      <c r="K50" s="1646"/>
      <c r="L50" s="1646"/>
      <c r="M50" s="1646"/>
    </row>
    <row r="51" spans="1:20" ht="13.5" thickBot="1" x14ac:dyDescent="0.25">
      <c r="A51" s="1647" t="s">
        <v>221</v>
      </c>
      <c r="B51" s="2516" t="s">
        <v>1009</v>
      </c>
      <c r="C51" s="2517"/>
      <c r="D51" s="2518"/>
      <c r="E51" s="2517" t="s">
        <v>1010</v>
      </c>
      <c r="F51" s="2517"/>
      <c r="G51" s="2517"/>
      <c r="H51" s="2516" t="s">
        <v>720</v>
      </c>
      <c r="I51" s="2517"/>
      <c r="J51" s="2518"/>
      <c r="K51" s="2516" t="s">
        <v>964</v>
      </c>
      <c r="L51" s="2517"/>
      <c r="M51" s="2518"/>
    </row>
    <row r="52" spans="1:20" x14ac:dyDescent="0.2">
      <c r="A52" s="1648"/>
      <c r="B52" s="1649" t="s">
        <v>69</v>
      </c>
      <c r="C52" s="1650" t="s">
        <v>70</v>
      </c>
      <c r="D52" s="1651" t="s">
        <v>68</v>
      </c>
      <c r="E52" s="1649" t="s">
        <v>69</v>
      </c>
      <c r="F52" s="1650" t="s">
        <v>70</v>
      </c>
      <c r="G52" s="1652" t="s">
        <v>68</v>
      </c>
      <c r="H52" s="1653" t="s">
        <v>69</v>
      </c>
      <c r="I52" s="1650" t="s">
        <v>70</v>
      </c>
      <c r="J52" s="1651" t="s">
        <v>68</v>
      </c>
      <c r="K52" s="1653" t="s">
        <v>69</v>
      </c>
      <c r="L52" s="1650" t="s">
        <v>70</v>
      </c>
      <c r="M52" s="1651" t="s">
        <v>68</v>
      </c>
    </row>
    <row r="53" spans="1:20" x14ac:dyDescent="0.2">
      <c r="A53" s="1654" t="s">
        <v>547</v>
      </c>
      <c r="B53" s="1655">
        <f t="shared" ref="B53:C58" si="24">E41</f>
        <v>18925</v>
      </c>
      <c r="C53" s="1656">
        <f t="shared" si="24"/>
        <v>16216</v>
      </c>
      <c r="D53" s="1657">
        <f t="shared" ref="D53:D58" si="25">SUM(B53:C53)</f>
        <v>35141</v>
      </c>
      <c r="E53" s="1658">
        <v>18925</v>
      </c>
      <c r="F53" s="1659">
        <v>16216</v>
      </c>
      <c r="G53" s="1660">
        <f t="shared" ref="G53:G58" si="26">SUM(E53:F53)</f>
        <v>35141</v>
      </c>
      <c r="H53" s="1661">
        <f t="shared" ref="H53:J58" si="27">E53-B53</f>
        <v>0</v>
      </c>
      <c r="I53" s="1656">
        <f t="shared" si="27"/>
        <v>0</v>
      </c>
      <c r="J53" s="1657">
        <f t="shared" si="27"/>
        <v>0</v>
      </c>
      <c r="K53" s="1662">
        <f t="shared" ref="K53:M59" si="28">H53/B53</f>
        <v>0</v>
      </c>
      <c r="L53" s="1663">
        <f t="shared" si="28"/>
        <v>0</v>
      </c>
      <c r="M53" s="1664">
        <f t="shared" si="28"/>
        <v>0</v>
      </c>
    </row>
    <row r="54" spans="1:20" x14ac:dyDescent="0.2">
      <c r="A54" s="1654" t="s">
        <v>548</v>
      </c>
      <c r="B54" s="1655">
        <f t="shared" si="24"/>
        <v>119102</v>
      </c>
      <c r="C54" s="1656">
        <f t="shared" si="24"/>
        <v>97026</v>
      </c>
      <c r="D54" s="1657">
        <f t="shared" si="25"/>
        <v>216128</v>
      </c>
      <c r="E54" s="1658">
        <v>119102</v>
      </c>
      <c r="F54" s="1659">
        <v>97026</v>
      </c>
      <c r="G54" s="1660">
        <f t="shared" si="26"/>
        <v>216128</v>
      </c>
      <c r="H54" s="1661">
        <f t="shared" si="27"/>
        <v>0</v>
      </c>
      <c r="I54" s="1656">
        <f t="shared" si="27"/>
        <v>0</v>
      </c>
      <c r="J54" s="1657">
        <f t="shared" si="27"/>
        <v>0</v>
      </c>
      <c r="K54" s="1662">
        <f t="shared" si="28"/>
        <v>0</v>
      </c>
      <c r="L54" s="1663">
        <f t="shared" si="28"/>
        <v>0</v>
      </c>
      <c r="M54" s="1664">
        <f t="shared" si="28"/>
        <v>0</v>
      </c>
    </row>
    <row r="55" spans="1:20" x14ac:dyDescent="0.2">
      <c r="A55" s="1665" t="s">
        <v>549</v>
      </c>
      <c r="B55" s="1655">
        <f t="shared" si="24"/>
        <v>208269</v>
      </c>
      <c r="C55" s="1656">
        <f t="shared" si="24"/>
        <v>184403</v>
      </c>
      <c r="D55" s="1657">
        <f t="shared" si="25"/>
        <v>392672</v>
      </c>
      <c r="E55" s="1658">
        <v>208269</v>
      </c>
      <c r="F55" s="1659">
        <v>184403</v>
      </c>
      <c r="G55" s="1660">
        <f t="shared" si="26"/>
        <v>392672</v>
      </c>
      <c r="H55" s="1666">
        <f t="shared" si="27"/>
        <v>0</v>
      </c>
      <c r="I55" s="1667">
        <f t="shared" si="27"/>
        <v>0</v>
      </c>
      <c r="J55" s="1668">
        <f t="shared" si="27"/>
        <v>0</v>
      </c>
      <c r="K55" s="1669">
        <f t="shared" si="28"/>
        <v>0</v>
      </c>
      <c r="L55" s="1670">
        <f t="shared" si="28"/>
        <v>0</v>
      </c>
      <c r="M55" s="1671">
        <f t="shared" si="28"/>
        <v>0</v>
      </c>
    </row>
    <row r="56" spans="1:20" x14ac:dyDescent="0.2">
      <c r="A56" s="1665" t="s">
        <v>573</v>
      </c>
      <c r="B56" s="1655">
        <f t="shared" si="24"/>
        <v>148024</v>
      </c>
      <c r="C56" s="1656">
        <f t="shared" si="24"/>
        <v>147078</v>
      </c>
      <c r="D56" s="1657">
        <f t="shared" si="25"/>
        <v>295102</v>
      </c>
      <c r="E56" s="1658">
        <v>148024</v>
      </c>
      <c r="F56" s="1659">
        <v>147078</v>
      </c>
      <c r="G56" s="1660">
        <f t="shared" si="26"/>
        <v>295102</v>
      </c>
      <c r="H56" s="1666">
        <f t="shared" si="27"/>
        <v>0</v>
      </c>
      <c r="I56" s="1667">
        <f t="shared" si="27"/>
        <v>0</v>
      </c>
      <c r="J56" s="1668">
        <f t="shared" si="27"/>
        <v>0</v>
      </c>
      <c r="K56" s="1669">
        <f t="shared" si="28"/>
        <v>0</v>
      </c>
      <c r="L56" s="1670">
        <f t="shared" si="28"/>
        <v>0</v>
      </c>
      <c r="M56" s="1671">
        <f t="shared" si="28"/>
        <v>0</v>
      </c>
    </row>
    <row r="57" spans="1:20" x14ac:dyDescent="0.2">
      <c r="A57" s="1665" t="s">
        <v>552</v>
      </c>
      <c r="B57" s="1655">
        <f t="shared" si="24"/>
        <v>208887</v>
      </c>
      <c r="C57" s="1656">
        <f t="shared" si="24"/>
        <v>196208</v>
      </c>
      <c r="D57" s="1657">
        <f t="shared" si="25"/>
        <v>405095</v>
      </c>
      <c r="E57" s="1658">
        <v>208887</v>
      </c>
      <c r="F57" s="1659">
        <v>196208</v>
      </c>
      <c r="G57" s="1660">
        <f t="shared" si="26"/>
        <v>405095</v>
      </c>
      <c r="H57" s="1666">
        <f t="shared" si="27"/>
        <v>0</v>
      </c>
      <c r="I57" s="1667">
        <f t="shared" si="27"/>
        <v>0</v>
      </c>
      <c r="J57" s="1668">
        <f t="shared" si="27"/>
        <v>0</v>
      </c>
      <c r="K57" s="1669">
        <f t="shared" si="28"/>
        <v>0</v>
      </c>
      <c r="L57" s="1670">
        <f t="shared" si="28"/>
        <v>0</v>
      </c>
      <c r="M57" s="1671">
        <f t="shared" si="28"/>
        <v>0</v>
      </c>
    </row>
    <row r="58" spans="1:20" ht="13.5" thickBot="1" x14ac:dyDescent="0.25">
      <c r="A58" s="1665" t="s">
        <v>553</v>
      </c>
      <c r="B58" s="1655">
        <f t="shared" si="24"/>
        <v>197068</v>
      </c>
      <c r="C58" s="1656">
        <f t="shared" si="24"/>
        <v>237401</v>
      </c>
      <c r="D58" s="1657">
        <f t="shared" si="25"/>
        <v>434469</v>
      </c>
      <c r="E58" s="1658">
        <v>197068</v>
      </c>
      <c r="F58" s="1659">
        <v>237401</v>
      </c>
      <c r="G58" s="1660">
        <f t="shared" si="26"/>
        <v>434469</v>
      </c>
      <c r="H58" s="1666">
        <f t="shared" si="27"/>
        <v>0</v>
      </c>
      <c r="I58" s="1667">
        <f t="shared" si="27"/>
        <v>0</v>
      </c>
      <c r="J58" s="1668">
        <f t="shared" si="27"/>
        <v>0</v>
      </c>
      <c r="K58" s="1669">
        <f t="shared" si="28"/>
        <v>0</v>
      </c>
      <c r="L58" s="1670">
        <f t="shared" si="28"/>
        <v>0</v>
      </c>
      <c r="M58" s="1671">
        <f t="shared" si="28"/>
        <v>0</v>
      </c>
    </row>
    <row r="59" spans="1:20" ht="14.25" thickTop="1" thickBot="1" x14ac:dyDescent="0.25">
      <c r="A59" s="1672" t="s">
        <v>68</v>
      </c>
      <c r="B59" s="1673">
        <f t="shared" ref="B59:D59" si="29">SUM(B53:B58)</f>
        <v>900275</v>
      </c>
      <c r="C59" s="1674">
        <f t="shared" si="29"/>
        <v>878332</v>
      </c>
      <c r="D59" s="1675">
        <f t="shared" si="29"/>
        <v>1778607</v>
      </c>
      <c r="E59" s="1674">
        <f>SUM(E53:E58)</f>
        <v>900275</v>
      </c>
      <c r="F59" s="1674">
        <f>SUM(F53:F58)</f>
        <v>878332</v>
      </c>
      <c r="G59" s="1676">
        <f t="shared" ref="G59:J59" si="30">SUM(G53:G58)</f>
        <v>1778607</v>
      </c>
      <c r="H59" s="1677">
        <f t="shared" si="30"/>
        <v>0</v>
      </c>
      <c r="I59" s="1676">
        <f t="shared" si="30"/>
        <v>0</v>
      </c>
      <c r="J59" s="1678">
        <f t="shared" si="30"/>
        <v>0</v>
      </c>
      <c r="K59" s="1679">
        <f t="shared" si="28"/>
        <v>0</v>
      </c>
      <c r="L59" s="1680">
        <f t="shared" si="28"/>
        <v>0</v>
      </c>
      <c r="M59" s="1681">
        <f t="shared" si="28"/>
        <v>0</v>
      </c>
    </row>
    <row r="60" spans="1:20" s="1682" customFormat="1" ht="15" x14ac:dyDescent="0.25">
      <c r="A60" s="1682" t="s">
        <v>184</v>
      </c>
    </row>
    <row r="61" spans="1:20" s="1682" customFormat="1" ht="15" x14ac:dyDescent="0.25">
      <c r="A61" s="1682" t="s">
        <v>1465</v>
      </c>
    </row>
    <row r="62" spans="1:20" s="1682" customFormat="1" ht="15" x14ac:dyDescent="0.25"/>
    <row r="63" spans="1:20" s="1682" customFormat="1" ht="15" x14ac:dyDescent="0.25">
      <c r="A63" s="1622" t="s">
        <v>1466</v>
      </c>
      <c r="B63" s="1620"/>
      <c r="C63" s="1620"/>
      <c r="D63" s="1619"/>
      <c r="E63" s="1619"/>
      <c r="F63" s="1619"/>
      <c r="G63" s="1619"/>
      <c r="H63" s="1619"/>
      <c r="I63" s="1619"/>
      <c r="J63" s="1620"/>
      <c r="K63" s="1621"/>
      <c r="L63" s="1621"/>
      <c r="M63" s="1621"/>
      <c r="P63" s="1682" t="s">
        <v>1467</v>
      </c>
    </row>
    <row r="64" spans="1:20" s="1682" customFormat="1" ht="15" x14ac:dyDescent="0.25">
      <c r="A64" s="1579" t="s">
        <v>1005</v>
      </c>
      <c r="B64" s="1579"/>
      <c r="C64" s="1579"/>
      <c r="D64" s="1580"/>
      <c r="E64" s="1580"/>
      <c r="F64" s="1580"/>
      <c r="G64" s="1580"/>
      <c r="H64" s="1580"/>
      <c r="I64" s="1580"/>
      <c r="J64" s="1580"/>
      <c r="K64" s="1580"/>
      <c r="L64" s="1580"/>
      <c r="M64" s="1580"/>
      <c r="P64" s="1682" t="s">
        <v>1468</v>
      </c>
      <c r="T64" s="1682" t="s">
        <v>1469</v>
      </c>
    </row>
    <row r="65" spans="1:26" s="1682" customFormat="1" ht="15.75" thickBot="1" x14ac:dyDescent="0.3">
      <c r="A65" s="1581" t="s">
        <v>221</v>
      </c>
      <c r="B65" s="2511" t="s">
        <v>1470</v>
      </c>
      <c r="C65" s="2511"/>
      <c r="D65" s="2511"/>
      <c r="E65" s="2511" t="s">
        <v>1471</v>
      </c>
      <c r="F65" s="2511"/>
      <c r="G65" s="2511"/>
      <c r="H65" s="2519" t="s">
        <v>720</v>
      </c>
      <c r="I65" s="2520"/>
      <c r="J65" s="2521"/>
      <c r="K65" s="2510" t="s">
        <v>964</v>
      </c>
      <c r="L65" s="2511"/>
      <c r="M65" s="2512"/>
      <c r="P65" s="1683" t="s">
        <v>1472</v>
      </c>
      <c r="Q65" s="1683" t="s">
        <v>1473</v>
      </c>
      <c r="R65" s="1683"/>
      <c r="S65" s="1683" t="s">
        <v>1474</v>
      </c>
      <c r="T65" s="1684" t="s">
        <v>1472</v>
      </c>
      <c r="U65" s="1684" t="s">
        <v>1473</v>
      </c>
      <c r="V65" s="1684"/>
      <c r="W65" s="1684" t="s">
        <v>1474</v>
      </c>
      <c r="Y65" s="1684" t="s">
        <v>1475</v>
      </c>
      <c r="Z65" s="1684" t="s">
        <v>1476</v>
      </c>
    </row>
    <row r="66" spans="1:26" s="1682" customFormat="1" ht="15" x14ac:dyDescent="0.25">
      <c r="A66" s="1583"/>
      <c r="B66" s="1587" t="s">
        <v>69</v>
      </c>
      <c r="C66" s="1585" t="s">
        <v>70</v>
      </c>
      <c r="D66" s="1583" t="s">
        <v>68</v>
      </c>
      <c r="E66" s="1587" t="s">
        <v>69</v>
      </c>
      <c r="F66" s="1585" t="s">
        <v>70</v>
      </c>
      <c r="G66" s="1583" t="s">
        <v>68</v>
      </c>
      <c r="H66" s="1653" t="s">
        <v>69</v>
      </c>
      <c r="I66" s="1650" t="s">
        <v>70</v>
      </c>
      <c r="J66" s="1651" t="s">
        <v>68</v>
      </c>
      <c r="K66" s="1584" t="s">
        <v>69</v>
      </c>
      <c r="L66" s="1585" t="s">
        <v>70</v>
      </c>
      <c r="M66" s="1586" t="s">
        <v>68</v>
      </c>
      <c r="O66" s="1685" t="s">
        <v>1477</v>
      </c>
      <c r="P66" s="1649" t="s">
        <v>1478</v>
      </c>
      <c r="Q66" s="1650" t="s">
        <v>1479</v>
      </c>
      <c r="R66" s="1649" t="s">
        <v>1480</v>
      </c>
      <c r="S66" s="1650" t="s">
        <v>1481</v>
      </c>
      <c r="T66" s="1686" t="s">
        <v>1478</v>
      </c>
      <c r="U66" s="1687" t="s">
        <v>1479</v>
      </c>
      <c r="V66" s="1686" t="s">
        <v>1480</v>
      </c>
      <c r="W66" s="1687" t="s">
        <v>1481</v>
      </c>
    </row>
    <row r="67" spans="1:26" s="1682" customFormat="1" ht="15" x14ac:dyDescent="0.25">
      <c r="A67" s="1590" t="s">
        <v>547</v>
      </c>
      <c r="B67" s="1688">
        <v>276833</v>
      </c>
      <c r="C67" s="1688">
        <v>271680</v>
      </c>
      <c r="D67" s="1688">
        <f t="shared" ref="D67:D72" si="31">B67+C67</f>
        <v>548513</v>
      </c>
      <c r="E67" s="1688">
        <v>244614</v>
      </c>
      <c r="F67" s="1688">
        <v>238844</v>
      </c>
      <c r="G67" s="1688">
        <f t="shared" ref="G67:G72" si="32">E67+F67</f>
        <v>483458</v>
      </c>
      <c r="H67" s="1661">
        <f t="shared" ref="H67:J72" si="33">E67-B67</f>
        <v>-32219</v>
      </c>
      <c r="I67" s="1661">
        <f t="shared" si="33"/>
        <v>-32836</v>
      </c>
      <c r="J67" s="1661">
        <f t="shared" si="33"/>
        <v>-65055</v>
      </c>
      <c r="K67" s="1597">
        <f t="shared" ref="K67:M73" si="34">H67/B67</f>
        <v>-0.11638424609782794</v>
      </c>
      <c r="L67" s="1597">
        <f t="shared" si="34"/>
        <v>-0.12086277974087162</v>
      </c>
      <c r="M67" s="1597">
        <f t="shared" si="34"/>
        <v>-0.11860247614915234</v>
      </c>
      <c r="O67" s="1590" t="s">
        <v>548</v>
      </c>
      <c r="P67" s="1689">
        <f>48549-Q67</f>
        <v>25822</v>
      </c>
      <c r="Q67" s="1689">
        <v>22727</v>
      </c>
      <c r="R67" s="1689">
        <f>555395-S67</f>
        <v>315289</v>
      </c>
      <c r="S67" s="1689">
        <v>240106</v>
      </c>
      <c r="T67" s="1689">
        <f>8878-U67</f>
        <v>4705</v>
      </c>
      <c r="U67" s="1689">
        <v>4173</v>
      </c>
      <c r="V67" s="1689">
        <f>28024-W67</f>
        <v>14082</v>
      </c>
      <c r="W67" s="1689">
        <v>13942</v>
      </c>
      <c r="Y67" s="1689">
        <f t="shared" ref="Y67:Z72" si="35">P67+R67+T67+V67</f>
        <v>359898</v>
      </c>
      <c r="Z67" s="1689">
        <f t="shared" si="35"/>
        <v>280948</v>
      </c>
    </row>
    <row r="68" spans="1:26" s="1682" customFormat="1" ht="15" x14ac:dyDescent="0.25">
      <c r="A68" s="1590" t="s">
        <v>548</v>
      </c>
      <c r="B68" s="1688">
        <v>359898</v>
      </c>
      <c r="C68" s="1688">
        <v>280948</v>
      </c>
      <c r="D68" s="1688">
        <f t="shared" si="31"/>
        <v>640846</v>
      </c>
      <c r="E68" s="1688">
        <v>396812</v>
      </c>
      <c r="F68" s="1688">
        <v>315824</v>
      </c>
      <c r="G68" s="1688">
        <f t="shared" si="32"/>
        <v>712636</v>
      </c>
      <c r="H68" s="1661">
        <f t="shared" si="33"/>
        <v>36914</v>
      </c>
      <c r="I68" s="1661">
        <f t="shared" si="33"/>
        <v>34876</v>
      </c>
      <c r="J68" s="1661">
        <f t="shared" si="33"/>
        <v>71790</v>
      </c>
      <c r="K68" s="1597">
        <f t="shared" si="34"/>
        <v>0.10256794980800116</v>
      </c>
      <c r="L68" s="1597">
        <f t="shared" si="34"/>
        <v>0.1241368509475063</v>
      </c>
      <c r="M68" s="1597">
        <f t="shared" si="34"/>
        <v>0.11202379354790386</v>
      </c>
      <c r="O68" s="1590" t="s">
        <v>573</v>
      </c>
      <c r="P68" s="1689">
        <f>307835-Q68</f>
        <v>158963</v>
      </c>
      <c r="Q68" s="1689">
        <v>148872</v>
      </c>
      <c r="R68" s="1689">
        <f>2568532-S68</f>
        <v>1296091</v>
      </c>
      <c r="S68" s="1689">
        <v>1272441</v>
      </c>
      <c r="T68" s="1689">
        <f>53016-U68</f>
        <v>26423</v>
      </c>
      <c r="U68" s="1689">
        <v>26593</v>
      </c>
      <c r="V68" s="1689">
        <f>125063-W68</f>
        <v>62409</v>
      </c>
      <c r="W68" s="1689">
        <v>62654</v>
      </c>
      <c r="Y68" s="1689">
        <f t="shared" si="35"/>
        <v>1543886</v>
      </c>
      <c r="Z68" s="1689">
        <f t="shared" si="35"/>
        <v>1510560</v>
      </c>
    </row>
    <row r="69" spans="1:26" s="1682" customFormat="1" ht="15" x14ac:dyDescent="0.25">
      <c r="A69" s="1601" t="s">
        <v>549</v>
      </c>
      <c r="B69" s="1688">
        <v>822756</v>
      </c>
      <c r="C69" s="1688">
        <v>731878</v>
      </c>
      <c r="D69" s="1688">
        <f t="shared" si="31"/>
        <v>1554634</v>
      </c>
      <c r="E69" s="1688">
        <v>957189</v>
      </c>
      <c r="F69" s="1688">
        <v>869158</v>
      </c>
      <c r="G69" s="1688">
        <f t="shared" si="32"/>
        <v>1826347</v>
      </c>
      <c r="H69" s="1661">
        <f t="shared" si="33"/>
        <v>134433</v>
      </c>
      <c r="I69" s="1661">
        <f t="shared" si="33"/>
        <v>137280</v>
      </c>
      <c r="J69" s="1661">
        <f t="shared" si="33"/>
        <v>271713</v>
      </c>
      <c r="K69" s="1597">
        <f t="shared" si="34"/>
        <v>0.16339352128699153</v>
      </c>
      <c r="L69" s="1597">
        <f t="shared" si="34"/>
        <v>0.18757224564749864</v>
      </c>
      <c r="M69" s="1597">
        <f t="shared" si="34"/>
        <v>0.1747761852628979</v>
      </c>
      <c r="O69" s="1601" t="s">
        <v>549</v>
      </c>
      <c r="P69" s="1689">
        <f>172943-Q69</f>
        <v>88526</v>
      </c>
      <c r="Q69" s="1689">
        <v>84417</v>
      </c>
      <c r="R69" s="1689">
        <f>1180039-S69</f>
        <v>631287</v>
      </c>
      <c r="S69" s="1689">
        <v>548752</v>
      </c>
      <c r="T69" s="1689">
        <f>70974-U69</f>
        <v>36138</v>
      </c>
      <c r="U69" s="1689">
        <v>34836</v>
      </c>
      <c r="V69" s="1689">
        <f>130678-W69</f>
        <v>66805</v>
      </c>
      <c r="W69" s="1689">
        <v>63873</v>
      </c>
      <c r="Y69" s="1689">
        <f t="shared" si="35"/>
        <v>822756</v>
      </c>
      <c r="Z69" s="1689">
        <f t="shared" si="35"/>
        <v>731878</v>
      </c>
    </row>
    <row r="70" spans="1:26" s="1682" customFormat="1" ht="15" x14ac:dyDescent="0.25">
      <c r="A70" s="1601" t="s">
        <v>573</v>
      </c>
      <c r="B70" s="1688">
        <v>1543886</v>
      </c>
      <c r="C70" s="1688">
        <v>1510560</v>
      </c>
      <c r="D70" s="1688">
        <f t="shared" si="31"/>
        <v>3054446</v>
      </c>
      <c r="E70" s="1688">
        <v>1577942</v>
      </c>
      <c r="F70" s="1688">
        <v>1550567</v>
      </c>
      <c r="G70" s="1688">
        <f t="shared" si="32"/>
        <v>3128509</v>
      </c>
      <c r="H70" s="1661">
        <f t="shared" si="33"/>
        <v>34056</v>
      </c>
      <c r="I70" s="1661">
        <f t="shared" si="33"/>
        <v>40007</v>
      </c>
      <c r="J70" s="1661">
        <f t="shared" si="33"/>
        <v>74063</v>
      </c>
      <c r="K70" s="1597">
        <f t="shared" si="34"/>
        <v>2.2058623499403452E-2</v>
      </c>
      <c r="L70" s="1597">
        <f t="shared" si="34"/>
        <v>2.6484879779684355E-2</v>
      </c>
      <c r="M70" s="1597">
        <f t="shared" si="34"/>
        <v>2.4247604966661711E-2</v>
      </c>
      <c r="O70" s="1601" t="s">
        <v>547</v>
      </c>
      <c r="P70" s="1682">
        <f>118316-Q70</f>
        <v>59619</v>
      </c>
      <c r="Q70" s="1682">
        <v>58697</v>
      </c>
      <c r="R70" s="1689">
        <f>177185-S70</f>
        <v>90637</v>
      </c>
      <c r="S70" s="1689">
        <v>86548</v>
      </c>
      <c r="T70" s="1682">
        <f>112857-U70</f>
        <v>56679</v>
      </c>
      <c r="U70" s="1682">
        <v>56178</v>
      </c>
      <c r="V70" s="1689">
        <f>140155-W70</f>
        <v>69898</v>
      </c>
      <c r="W70" s="1689">
        <v>70257</v>
      </c>
      <c r="Y70" s="1689">
        <f t="shared" si="35"/>
        <v>276833</v>
      </c>
      <c r="Z70" s="1689">
        <f t="shared" si="35"/>
        <v>271680</v>
      </c>
    </row>
    <row r="71" spans="1:26" s="1682" customFormat="1" ht="15" x14ac:dyDescent="0.25">
      <c r="A71" s="1601" t="s">
        <v>552</v>
      </c>
      <c r="B71" s="1688">
        <v>218546</v>
      </c>
      <c r="C71" s="1688">
        <v>205189</v>
      </c>
      <c r="D71" s="1688">
        <f t="shared" si="31"/>
        <v>423735</v>
      </c>
      <c r="E71" s="1688">
        <v>215758</v>
      </c>
      <c r="F71" s="1688">
        <v>200858</v>
      </c>
      <c r="G71" s="1688">
        <f t="shared" si="32"/>
        <v>416616</v>
      </c>
      <c r="H71" s="1661">
        <f t="shared" si="33"/>
        <v>-2788</v>
      </c>
      <c r="I71" s="1661">
        <f t="shared" si="33"/>
        <v>-4331</v>
      </c>
      <c r="J71" s="1661">
        <f t="shared" si="33"/>
        <v>-7119</v>
      </c>
      <c r="K71" s="1597">
        <f t="shared" si="34"/>
        <v>-1.2757039707887585E-2</v>
      </c>
      <c r="L71" s="1597">
        <f t="shared" si="34"/>
        <v>-2.1107369303422698E-2</v>
      </c>
      <c r="M71" s="1597">
        <f t="shared" si="34"/>
        <v>-1.6800594711317215E-2</v>
      </c>
      <c r="O71" s="1601" t="s">
        <v>552</v>
      </c>
      <c r="P71" s="1689">
        <f>54154-Q71</f>
        <v>27637</v>
      </c>
      <c r="Q71" s="1689">
        <v>26517</v>
      </c>
      <c r="R71" s="1689">
        <f>199868-S71</f>
        <v>104629</v>
      </c>
      <c r="S71" s="1689">
        <v>95239</v>
      </c>
      <c r="T71" s="1689">
        <f>71609-U71</f>
        <v>36105</v>
      </c>
      <c r="U71" s="1689">
        <v>35504</v>
      </c>
      <c r="V71" s="1689">
        <f>98104-W71</f>
        <v>50175</v>
      </c>
      <c r="W71" s="1689">
        <v>47929</v>
      </c>
      <c r="Y71" s="1690">
        <f t="shared" si="35"/>
        <v>218546</v>
      </c>
      <c r="Z71" s="1690">
        <f t="shared" si="35"/>
        <v>205189</v>
      </c>
    </row>
    <row r="72" spans="1:26" s="1682" customFormat="1" ht="15" x14ac:dyDescent="0.25">
      <c r="A72" s="1601" t="s">
        <v>1482</v>
      </c>
      <c r="B72" s="1688">
        <v>245122</v>
      </c>
      <c r="C72" s="1688">
        <v>252196</v>
      </c>
      <c r="D72" s="1688">
        <f t="shared" si="31"/>
        <v>497318</v>
      </c>
      <c r="E72" s="1688">
        <v>242675</v>
      </c>
      <c r="F72" s="1688">
        <v>248400</v>
      </c>
      <c r="G72" s="1688">
        <f t="shared" si="32"/>
        <v>491075</v>
      </c>
      <c r="H72" s="1661">
        <f t="shared" si="33"/>
        <v>-2447</v>
      </c>
      <c r="I72" s="1661">
        <f t="shared" si="33"/>
        <v>-3796</v>
      </c>
      <c r="J72" s="1661">
        <f t="shared" si="33"/>
        <v>-6243</v>
      </c>
      <c r="K72" s="1597">
        <f t="shared" si="34"/>
        <v>-9.9827840830280425E-3</v>
      </c>
      <c r="L72" s="1597">
        <f t="shared" si="34"/>
        <v>-1.5051785119510223E-2</v>
      </c>
      <c r="M72" s="1597">
        <f t="shared" si="34"/>
        <v>-1.2553336094812574E-2</v>
      </c>
      <c r="O72" s="1601" t="s">
        <v>1482</v>
      </c>
      <c r="P72" s="1689">
        <f>90640-Q72</f>
        <v>45726</v>
      </c>
      <c r="Q72" s="1689">
        <v>44914</v>
      </c>
      <c r="R72" s="1689">
        <f>406678-S72</f>
        <v>199396</v>
      </c>
      <c r="S72" s="1689">
        <v>207282</v>
      </c>
      <c r="T72" s="1691"/>
      <c r="U72" s="1691"/>
      <c r="V72" s="1691"/>
      <c r="W72" s="1691"/>
      <c r="Y72" s="1692">
        <f t="shared" si="35"/>
        <v>245122</v>
      </c>
      <c r="Z72" s="1692">
        <f t="shared" si="35"/>
        <v>252196</v>
      </c>
    </row>
    <row r="73" spans="1:26" s="1682" customFormat="1" ht="15.75" thickBot="1" x14ac:dyDescent="0.3">
      <c r="A73" s="1581" t="s">
        <v>68</v>
      </c>
      <c r="B73" s="1609">
        <f t="shared" ref="B73:J73" si="36">SUM(B67:B72)</f>
        <v>3467041</v>
      </c>
      <c r="C73" s="1609">
        <f t="shared" si="36"/>
        <v>3252451</v>
      </c>
      <c r="D73" s="1609">
        <f t="shared" si="36"/>
        <v>6719492</v>
      </c>
      <c r="E73" s="1609">
        <f t="shared" si="36"/>
        <v>3634990</v>
      </c>
      <c r="F73" s="1609">
        <f t="shared" si="36"/>
        <v>3423651</v>
      </c>
      <c r="G73" s="1609">
        <f t="shared" si="36"/>
        <v>7058641</v>
      </c>
      <c r="H73" s="1677">
        <f t="shared" si="36"/>
        <v>167949</v>
      </c>
      <c r="I73" s="1677">
        <f t="shared" si="36"/>
        <v>171200</v>
      </c>
      <c r="J73" s="1677">
        <f t="shared" si="36"/>
        <v>339149</v>
      </c>
      <c r="K73" s="1597">
        <f t="shared" si="34"/>
        <v>4.8441596162260556E-2</v>
      </c>
      <c r="L73" s="1597">
        <f t="shared" si="34"/>
        <v>5.2637226510099618E-2</v>
      </c>
      <c r="M73" s="1597">
        <f t="shared" si="34"/>
        <v>5.047241666483121E-2</v>
      </c>
      <c r="X73" s="1682" t="s">
        <v>595</v>
      </c>
      <c r="Y73" s="1689">
        <f>SUM(Y67:Y72)</f>
        <v>3467041</v>
      </c>
      <c r="Z73" s="1689">
        <f>SUM(Z67:Z72)</f>
        <v>3252451</v>
      </c>
    </row>
    <row r="74" spans="1:26" ht="19.5" thickBot="1" x14ac:dyDescent="0.35">
      <c r="A74" s="1618"/>
      <c r="B74" s="1619"/>
      <c r="C74" s="1619"/>
      <c r="D74" s="1619"/>
      <c r="E74" s="1619"/>
      <c r="F74" s="1619"/>
      <c r="G74" s="1619"/>
      <c r="H74" s="1693" t="s">
        <v>1014</v>
      </c>
      <c r="I74" s="1619"/>
      <c r="J74" s="1620"/>
      <c r="K74" s="1621"/>
      <c r="L74" s="1621"/>
      <c r="M74" s="1621"/>
      <c r="R74" s="1693" t="s">
        <v>988</v>
      </c>
    </row>
    <row r="75" spans="1:26" x14ac:dyDescent="0.2">
      <c r="A75" s="1694" t="s">
        <v>967</v>
      </c>
      <c r="B75" s="1694"/>
      <c r="C75" s="1624"/>
      <c r="D75" s="1624"/>
      <c r="E75" s="1624"/>
      <c r="F75" s="1624"/>
      <c r="H75" s="1695" t="s">
        <v>1011</v>
      </c>
      <c r="I75" s="1696"/>
      <c r="J75" s="1697"/>
      <c r="K75" s="1698"/>
      <c r="L75" s="1699"/>
      <c r="M75" s="1621"/>
      <c r="R75" s="1695" t="s">
        <v>1011</v>
      </c>
      <c r="S75" s="1698"/>
      <c r="T75" s="1699"/>
    </row>
    <row r="76" spans="1:26" x14ac:dyDescent="0.2">
      <c r="A76" s="1694"/>
      <c r="B76" s="1694" t="s">
        <v>968</v>
      </c>
      <c r="C76" s="1694" t="s">
        <v>969</v>
      </c>
      <c r="D76" s="1694" t="s">
        <v>970</v>
      </c>
      <c r="E76" s="1700" t="s">
        <v>971</v>
      </c>
      <c r="F76" s="1700" t="s">
        <v>972</v>
      </c>
      <c r="H76" s="1661"/>
      <c r="I76" s="1701">
        <v>2012</v>
      </c>
      <c r="J76" s="1701">
        <v>2014</v>
      </c>
      <c r="K76" s="1701">
        <v>2015</v>
      </c>
      <c r="L76" s="1701">
        <v>2016</v>
      </c>
      <c r="M76" s="1621"/>
      <c r="R76" s="1661"/>
      <c r="S76" s="1701">
        <v>2015</v>
      </c>
      <c r="T76" s="1701">
        <v>2016</v>
      </c>
      <c r="V76" s="1580" t="s">
        <v>216</v>
      </c>
    </row>
    <row r="77" spans="1:26" x14ac:dyDescent="0.2">
      <c r="A77" s="1694" t="s">
        <v>764</v>
      </c>
      <c r="B77" s="1624">
        <v>0</v>
      </c>
      <c r="C77" s="1624">
        <f>E11-B11</f>
        <v>65894</v>
      </c>
      <c r="D77" s="1624">
        <f>C77+H23</f>
        <v>111522</v>
      </c>
      <c r="E77" s="1702">
        <f>D77+H35</f>
        <v>214179</v>
      </c>
      <c r="F77" s="1703">
        <f>E77+H47</f>
        <v>134318</v>
      </c>
      <c r="H77" s="1704" t="s">
        <v>764</v>
      </c>
      <c r="I77" s="1656">
        <f>D77</f>
        <v>111522</v>
      </c>
      <c r="J77" s="1656">
        <f>F77</f>
        <v>134318</v>
      </c>
      <c r="K77" s="1705">
        <f>O93</f>
        <v>180486</v>
      </c>
      <c r="L77" s="1664"/>
      <c r="M77" s="1621"/>
      <c r="R77" s="1704" t="s">
        <v>764</v>
      </c>
      <c r="S77" s="1705">
        <f>Y82</f>
        <v>138347.54</v>
      </c>
      <c r="T77" s="1706">
        <f>Y87</f>
        <v>142497.96620000002</v>
      </c>
    </row>
    <row r="78" spans="1:26" x14ac:dyDescent="0.2">
      <c r="A78" s="1694" t="s">
        <v>763</v>
      </c>
      <c r="B78" s="1624">
        <v>0</v>
      </c>
      <c r="C78" s="1624">
        <f>F11-C11</f>
        <v>65038</v>
      </c>
      <c r="D78" s="1624">
        <f>C78+I23</f>
        <v>116609</v>
      </c>
      <c r="E78" s="1702">
        <f>D78+I35</f>
        <v>216737</v>
      </c>
      <c r="F78" s="1703">
        <f>E78+I47</f>
        <v>174310</v>
      </c>
      <c r="H78" s="1704" t="s">
        <v>763</v>
      </c>
      <c r="I78" s="1656">
        <f>D78</f>
        <v>116609</v>
      </c>
      <c r="J78" s="1656">
        <f>F78</f>
        <v>174310</v>
      </c>
      <c r="K78" s="1705">
        <f>O94</f>
        <v>197896</v>
      </c>
      <c r="L78" s="1664"/>
      <c r="M78" s="1621"/>
      <c r="R78" s="1704" t="s">
        <v>763</v>
      </c>
      <c r="S78" s="1705">
        <f>Y83</f>
        <v>179539.30000000002</v>
      </c>
      <c r="T78" s="1706">
        <f>Y88</f>
        <v>184925.47900000002</v>
      </c>
    </row>
    <row r="79" spans="1:26" ht="13.5" thickBot="1" x14ac:dyDescent="0.25">
      <c r="A79" s="1694" t="s">
        <v>68</v>
      </c>
      <c r="B79" s="1700">
        <f>SUM(B77:B78)</f>
        <v>0</v>
      </c>
      <c r="C79" s="1700">
        <f>SUM(C77:C78)</f>
        <v>130932</v>
      </c>
      <c r="D79" s="1700">
        <f>SUM(D77:D78)</f>
        <v>228131</v>
      </c>
      <c r="E79" s="1707">
        <f>SUM(E77:E78)</f>
        <v>430916</v>
      </c>
      <c r="F79" s="1708">
        <f>SUM(F77:F78)</f>
        <v>308628</v>
      </c>
      <c r="H79" s="1709" t="s">
        <v>68</v>
      </c>
      <c r="I79" s="1710">
        <f>SUM(I77:I78)</f>
        <v>228131</v>
      </c>
      <c r="J79" s="1710">
        <f>SUM(J77:J78)</f>
        <v>308628</v>
      </c>
      <c r="K79" s="1710">
        <f t="shared" ref="K79:L79" si="37">SUM(K77:K78)</f>
        <v>378382</v>
      </c>
      <c r="L79" s="1710">
        <f t="shared" si="37"/>
        <v>0</v>
      </c>
      <c r="R79" s="1709" t="s">
        <v>68</v>
      </c>
      <c r="S79" s="1711">
        <f>Y84</f>
        <v>317886.84000000003</v>
      </c>
      <c r="T79" s="1712">
        <f>Y89</f>
        <v>327423.44520000002</v>
      </c>
    </row>
    <row r="80" spans="1:26" ht="19.5" thickBot="1" x14ac:dyDescent="0.35">
      <c r="H80" s="1693" t="s">
        <v>1016</v>
      </c>
      <c r="J80" s="1579"/>
      <c r="R80" s="1693" t="s">
        <v>1018</v>
      </c>
    </row>
    <row r="81" spans="1:25" ht="16.5" thickBot="1" x14ac:dyDescent="0.3">
      <c r="A81" s="1713" t="s">
        <v>1012</v>
      </c>
      <c r="B81" s="1714"/>
      <c r="C81" s="1714"/>
      <c r="D81" s="1714"/>
      <c r="E81" s="1714"/>
      <c r="F81" s="1715"/>
      <c r="H81" s="1716" t="s">
        <v>221</v>
      </c>
      <c r="I81" s="1716" t="s">
        <v>18</v>
      </c>
      <c r="J81" s="1717" t="s">
        <v>17</v>
      </c>
      <c r="K81" s="1718" t="s">
        <v>16</v>
      </c>
      <c r="L81" s="1717" t="s">
        <v>15</v>
      </c>
      <c r="M81" s="1717" t="s">
        <v>14</v>
      </c>
      <c r="N81" s="1719" t="s">
        <v>13</v>
      </c>
      <c r="O81" s="1719" t="s">
        <v>1015</v>
      </c>
      <c r="R81" s="1716" t="s">
        <v>221</v>
      </c>
      <c r="S81" s="1716" t="s">
        <v>18</v>
      </c>
      <c r="T81" s="1717" t="s">
        <v>17</v>
      </c>
      <c r="U81" s="1718" t="s">
        <v>16</v>
      </c>
      <c r="V81" s="1717" t="s">
        <v>15</v>
      </c>
      <c r="W81" s="1717" t="s">
        <v>14</v>
      </c>
      <c r="X81" s="1719" t="s">
        <v>13</v>
      </c>
      <c r="Y81" s="1719" t="s">
        <v>1015</v>
      </c>
    </row>
    <row r="82" spans="1:25" ht="15.75" x14ac:dyDescent="0.25">
      <c r="A82" s="1720"/>
      <c r="B82" s="1721" t="s">
        <v>968</v>
      </c>
      <c r="C82" s="1721" t="s">
        <v>969</v>
      </c>
      <c r="D82" s="1721" t="s">
        <v>970</v>
      </c>
      <c r="E82" s="1722" t="s">
        <v>971</v>
      </c>
      <c r="F82" s="1722" t="s">
        <v>972</v>
      </c>
      <c r="H82" s="1723" t="s">
        <v>69</v>
      </c>
      <c r="I82" s="1724">
        <f>H5+H17</f>
        <v>6321</v>
      </c>
      <c r="J82" s="1725">
        <f>H6+H18</f>
        <v>7634</v>
      </c>
      <c r="K82" s="1725">
        <f>H7+H19</f>
        <v>18576</v>
      </c>
      <c r="L82" s="1725">
        <f>H8+H20</f>
        <v>19665</v>
      </c>
      <c r="M82" s="1725">
        <f>H9+H21</f>
        <v>50647</v>
      </c>
      <c r="N82" s="1726">
        <f>H10+H22</f>
        <v>8679</v>
      </c>
      <c r="O82" s="1727">
        <f>SUM(I82:N82)</f>
        <v>111522</v>
      </c>
      <c r="R82" s="1723" t="s">
        <v>69</v>
      </c>
      <c r="S82" s="1728">
        <f>I87+(I87*3%)</f>
        <v>10992.16</v>
      </c>
      <c r="T82" s="1728">
        <f t="shared" ref="T82:X83" si="38">J87+(J87*3%)</f>
        <v>8982.6299999999992</v>
      </c>
      <c r="U82" s="1728">
        <f t="shared" si="38"/>
        <v>51936.72</v>
      </c>
      <c r="V82" s="1728">
        <f t="shared" si="38"/>
        <v>47313.05</v>
      </c>
      <c r="W82" s="1728">
        <f t="shared" si="38"/>
        <v>40670.58</v>
      </c>
      <c r="X82" s="1728">
        <f t="shared" si="38"/>
        <v>-21547.599999999999</v>
      </c>
      <c r="Y82" s="1729">
        <f>SUM(S82:X82)</f>
        <v>138347.54</v>
      </c>
    </row>
    <row r="83" spans="1:25" ht="15.75" x14ac:dyDescent="0.25">
      <c r="A83" s="1730" t="s">
        <v>547</v>
      </c>
      <c r="B83" s="1731">
        <v>0</v>
      </c>
      <c r="C83" s="1731">
        <f t="shared" ref="C83:C88" si="39">B83+J5</f>
        <v>9404</v>
      </c>
      <c r="D83" s="1731">
        <f t="shared" ref="D83:D88" si="40">C83+J17</f>
        <v>11797</v>
      </c>
      <c r="E83" s="1731">
        <f t="shared" ref="E83:E88" si="41">D83+J29</f>
        <v>17503</v>
      </c>
      <c r="F83" s="1732">
        <f t="shared" ref="F83:F88" si="42">E83+J41</f>
        <v>19270</v>
      </c>
      <c r="H83" s="1723" t="s">
        <v>70</v>
      </c>
      <c r="I83" s="1724">
        <f>I5+I17</f>
        <v>5476</v>
      </c>
      <c r="J83" s="1725">
        <f>I6+I18</f>
        <v>17240</v>
      </c>
      <c r="K83" s="1725">
        <f>I7+I19</f>
        <v>13098</v>
      </c>
      <c r="L83" s="1725">
        <f>I8+I20</f>
        <v>21601</v>
      </c>
      <c r="M83" s="1725">
        <f>I9+I21</f>
        <v>52347</v>
      </c>
      <c r="N83" s="1726">
        <f>I10+I22</f>
        <v>6847</v>
      </c>
      <c r="O83" s="1733">
        <f t="shared" ref="O83:O84" si="43">SUM(I83:N83)</f>
        <v>116609</v>
      </c>
      <c r="R83" s="1723" t="s">
        <v>70</v>
      </c>
      <c r="S83" s="1728">
        <f>I88+(I88*3%)</f>
        <v>8855.94</v>
      </c>
      <c r="T83" s="1728">
        <f t="shared" si="38"/>
        <v>24237.96</v>
      </c>
      <c r="U83" s="1728">
        <f t="shared" si="38"/>
        <v>42047.69</v>
      </c>
      <c r="V83" s="1728">
        <f t="shared" si="38"/>
        <v>52566.05</v>
      </c>
      <c r="W83" s="1728">
        <f t="shared" si="38"/>
        <v>41176.31</v>
      </c>
      <c r="X83" s="1728">
        <f t="shared" si="38"/>
        <v>10655.35</v>
      </c>
      <c r="Y83" s="1734">
        <f t="shared" ref="Y83" si="44">SUM(S83:X83)</f>
        <v>179539.30000000002</v>
      </c>
    </row>
    <row r="84" spans="1:25" ht="16.5" thickBot="1" x14ac:dyDescent="0.3">
      <c r="A84" s="1730" t="s">
        <v>548</v>
      </c>
      <c r="B84" s="1731">
        <v>0</v>
      </c>
      <c r="C84" s="1731">
        <f t="shared" si="39"/>
        <v>-10859</v>
      </c>
      <c r="D84" s="1731">
        <f t="shared" si="40"/>
        <v>24874</v>
      </c>
      <c r="E84" s="1731">
        <f t="shared" si="41"/>
        <v>36620</v>
      </c>
      <c r="F84" s="1732">
        <f t="shared" si="42"/>
        <v>32253</v>
      </c>
      <c r="H84" s="1735" t="s">
        <v>68</v>
      </c>
      <c r="I84" s="1736">
        <f>SUM(I82:I83)</f>
        <v>11797</v>
      </c>
      <c r="J84" s="1736">
        <f t="shared" ref="J84:N84" si="45">SUM(J82:J83)</f>
        <v>24874</v>
      </c>
      <c r="K84" s="1736">
        <f t="shared" si="45"/>
        <v>31674</v>
      </c>
      <c r="L84" s="1736">
        <f t="shared" si="45"/>
        <v>41266</v>
      </c>
      <c r="M84" s="1736">
        <f t="shared" si="45"/>
        <v>102994</v>
      </c>
      <c r="N84" s="1737">
        <f t="shared" si="45"/>
        <v>15526</v>
      </c>
      <c r="O84" s="1738">
        <f t="shared" si="43"/>
        <v>228131</v>
      </c>
      <c r="R84" s="1735" t="s">
        <v>68</v>
      </c>
      <c r="S84" s="1739">
        <f>SUM(S82:S83)</f>
        <v>19848.099999999999</v>
      </c>
      <c r="T84" s="1739">
        <f t="shared" ref="T84:X84" si="46">SUM(T82:T83)</f>
        <v>33220.589999999997</v>
      </c>
      <c r="U84" s="1739">
        <f t="shared" si="46"/>
        <v>93984.41</v>
      </c>
      <c r="V84" s="1739">
        <f t="shared" si="46"/>
        <v>99879.1</v>
      </c>
      <c r="W84" s="1739">
        <f t="shared" si="46"/>
        <v>81846.89</v>
      </c>
      <c r="X84" s="1739">
        <f t="shared" si="46"/>
        <v>-10892.249999999998</v>
      </c>
      <c r="Y84" s="1740">
        <f>SUM(S84:X84)</f>
        <v>317886.84000000003</v>
      </c>
    </row>
    <row r="85" spans="1:25" ht="19.5" thickBot="1" x14ac:dyDescent="0.35">
      <c r="A85" s="1741" t="s">
        <v>549</v>
      </c>
      <c r="B85" s="1731">
        <v>0</v>
      </c>
      <c r="C85" s="1731">
        <f t="shared" si="39"/>
        <v>49397</v>
      </c>
      <c r="D85" s="1731">
        <f t="shared" si="40"/>
        <v>31674</v>
      </c>
      <c r="E85" s="1731">
        <f t="shared" si="41"/>
        <v>110186</v>
      </c>
      <c r="F85" s="1732">
        <f t="shared" si="42"/>
        <v>91247</v>
      </c>
      <c r="H85" s="1693" t="s">
        <v>1017</v>
      </c>
      <c r="J85" s="1579"/>
      <c r="R85" s="1693" t="s">
        <v>1411</v>
      </c>
      <c r="T85" s="1579"/>
    </row>
    <row r="86" spans="1:25" ht="16.5" thickBot="1" x14ac:dyDescent="0.3">
      <c r="A86" s="1741" t="s">
        <v>573</v>
      </c>
      <c r="B86" s="1731">
        <v>0</v>
      </c>
      <c r="C86" s="1731">
        <f t="shared" si="39"/>
        <v>27279</v>
      </c>
      <c r="D86" s="1731">
        <f t="shared" si="40"/>
        <v>41266</v>
      </c>
      <c r="E86" s="1731">
        <f t="shared" si="41"/>
        <v>76286</v>
      </c>
      <c r="F86" s="1732">
        <f t="shared" si="42"/>
        <v>96970</v>
      </c>
      <c r="H86" s="1716" t="s">
        <v>221</v>
      </c>
      <c r="I86" s="1716" t="s">
        <v>18</v>
      </c>
      <c r="J86" s="1717" t="s">
        <v>17</v>
      </c>
      <c r="K86" s="1718" t="s">
        <v>16</v>
      </c>
      <c r="L86" s="1717" t="s">
        <v>15</v>
      </c>
      <c r="M86" s="1717" t="s">
        <v>14</v>
      </c>
      <c r="N86" s="1719" t="s">
        <v>13</v>
      </c>
      <c r="O86" s="1719" t="s">
        <v>1015</v>
      </c>
      <c r="R86" s="1716" t="s">
        <v>221</v>
      </c>
      <c r="S86" s="1716" t="s">
        <v>18</v>
      </c>
      <c r="T86" s="1717" t="s">
        <v>17</v>
      </c>
      <c r="U86" s="1718" t="s">
        <v>16</v>
      </c>
      <c r="V86" s="1717" t="s">
        <v>15</v>
      </c>
      <c r="W86" s="1717" t="s">
        <v>14</v>
      </c>
      <c r="X86" s="1719" t="s">
        <v>13</v>
      </c>
      <c r="Y86" s="1719" t="s">
        <v>1015</v>
      </c>
    </row>
    <row r="87" spans="1:25" ht="16.5" thickBot="1" x14ac:dyDescent="0.3">
      <c r="A87" s="1741" t="s">
        <v>552</v>
      </c>
      <c r="B87" s="1731">
        <v>0</v>
      </c>
      <c r="C87" s="1731">
        <f t="shared" si="39"/>
        <v>38471</v>
      </c>
      <c r="D87" s="1731">
        <f t="shared" si="40"/>
        <v>102994</v>
      </c>
      <c r="E87" s="1731">
        <f t="shared" si="41"/>
        <v>57035</v>
      </c>
      <c r="F87" s="1732">
        <f t="shared" si="42"/>
        <v>79463</v>
      </c>
      <c r="H87" s="1742" t="s">
        <v>69</v>
      </c>
      <c r="I87" s="1743">
        <f>H41+I82+H29</f>
        <v>10672</v>
      </c>
      <c r="J87" s="1744">
        <f>H42+J82+H30</f>
        <v>8721</v>
      </c>
      <c r="K87" s="1744">
        <f>K82+H43+H31</f>
        <v>50424</v>
      </c>
      <c r="L87" s="1744">
        <f>L82+H44+H32</f>
        <v>45935</v>
      </c>
      <c r="M87" s="1744">
        <f>H45+M82+H33</f>
        <v>39486</v>
      </c>
      <c r="N87" s="1745">
        <f>N82+H46+H34</f>
        <v>-20920</v>
      </c>
      <c r="O87" s="1727">
        <f>SUM(I87:N87)</f>
        <v>134318</v>
      </c>
      <c r="R87" s="1742" t="s">
        <v>69</v>
      </c>
      <c r="S87" s="1746">
        <f>S82+(S82*3%)</f>
        <v>11321.924800000001</v>
      </c>
      <c r="T87" s="1747">
        <f t="shared" ref="T87:X88" si="47">T82+(T82*3%)</f>
        <v>9252.1088999999993</v>
      </c>
      <c r="U87" s="1748">
        <f t="shared" si="47"/>
        <v>53494.821600000003</v>
      </c>
      <c r="V87" s="1748">
        <f t="shared" si="47"/>
        <v>48732.441500000001</v>
      </c>
      <c r="W87" s="1747">
        <f t="shared" si="47"/>
        <v>41890.697400000005</v>
      </c>
      <c r="X87" s="1747">
        <f t="shared" si="47"/>
        <v>-22194.027999999998</v>
      </c>
      <c r="Y87" s="1729">
        <f>SUM(S87:X87)</f>
        <v>142497.96620000002</v>
      </c>
    </row>
    <row r="88" spans="1:25" ht="15.75" x14ac:dyDescent="0.25">
      <c r="A88" s="1741" t="s">
        <v>553</v>
      </c>
      <c r="B88" s="1731">
        <v>0</v>
      </c>
      <c r="C88" s="1731">
        <f t="shared" si="39"/>
        <v>17240</v>
      </c>
      <c r="D88" s="1731">
        <f t="shared" si="40"/>
        <v>15526</v>
      </c>
      <c r="E88" s="1731">
        <f t="shared" si="41"/>
        <v>133286</v>
      </c>
      <c r="F88" s="1732">
        <f t="shared" si="42"/>
        <v>-10575</v>
      </c>
      <c r="H88" s="1723" t="s">
        <v>70</v>
      </c>
      <c r="I88" s="1724">
        <f>I41+I83+I29</f>
        <v>8598</v>
      </c>
      <c r="J88" s="1725">
        <f>I42+J83+I30</f>
        <v>23532</v>
      </c>
      <c r="K88" s="1725">
        <f>K83+I43+I31</f>
        <v>40823</v>
      </c>
      <c r="L88" s="1725">
        <f>L83+I44+I32</f>
        <v>51035</v>
      </c>
      <c r="M88" s="1725">
        <f>M83+I45+I33</f>
        <v>39977</v>
      </c>
      <c r="N88" s="1726">
        <f>N83+I46+I34</f>
        <v>10345</v>
      </c>
      <c r="O88" s="1733">
        <f t="shared" ref="O88:O89" si="48">SUM(I88:N88)</f>
        <v>174310</v>
      </c>
      <c r="R88" s="1723" t="s">
        <v>70</v>
      </c>
      <c r="S88" s="1747">
        <f>S83+(S83*3%)</f>
        <v>9121.6182000000008</v>
      </c>
      <c r="T88" s="1748">
        <f t="shared" si="47"/>
        <v>24965.0988</v>
      </c>
      <c r="U88" s="1748">
        <f t="shared" si="47"/>
        <v>43309.120699999999</v>
      </c>
      <c r="V88" s="1747">
        <f t="shared" si="47"/>
        <v>54143.031500000005</v>
      </c>
      <c r="W88" s="1747">
        <f t="shared" si="47"/>
        <v>42411.599299999994</v>
      </c>
      <c r="X88" s="1747">
        <f t="shared" si="47"/>
        <v>10975.0105</v>
      </c>
      <c r="Y88" s="1734">
        <f t="shared" ref="Y88:Y89" si="49">SUM(S88:X88)</f>
        <v>184925.47900000002</v>
      </c>
    </row>
    <row r="89" spans="1:25" ht="16.5" thickBot="1" x14ac:dyDescent="0.3">
      <c r="A89" s="1749" t="s">
        <v>68</v>
      </c>
      <c r="B89" s="1750">
        <f>SUM(B83:B88)</f>
        <v>0</v>
      </c>
      <c r="C89" s="1750">
        <f>SUM(C83:C88)</f>
        <v>130932</v>
      </c>
      <c r="D89" s="1750">
        <f>SUM(D83:D88)</f>
        <v>228131</v>
      </c>
      <c r="E89" s="1750">
        <f>SUM(E83:E88)</f>
        <v>430916</v>
      </c>
      <c r="F89" s="1751">
        <f>SUM(F83:F88)</f>
        <v>308628</v>
      </c>
      <c r="H89" s="1735" t="s">
        <v>68</v>
      </c>
      <c r="I89" s="1736">
        <f>SUM(I87:I88)</f>
        <v>19270</v>
      </c>
      <c r="J89" s="1736">
        <f t="shared" ref="J89:N89" si="50">SUM(J87:J88)</f>
        <v>32253</v>
      </c>
      <c r="K89" s="1736">
        <f t="shared" si="50"/>
        <v>91247</v>
      </c>
      <c r="L89" s="1736">
        <f t="shared" si="50"/>
        <v>96970</v>
      </c>
      <c r="M89" s="1736">
        <f t="shared" si="50"/>
        <v>79463</v>
      </c>
      <c r="N89" s="1737">
        <f t="shared" si="50"/>
        <v>-10575</v>
      </c>
      <c r="O89" s="1738">
        <f t="shared" si="48"/>
        <v>308628</v>
      </c>
      <c r="R89" s="1735" t="s">
        <v>68</v>
      </c>
      <c r="S89" s="1739">
        <f>SUM(S87:S88)</f>
        <v>20443.543000000001</v>
      </c>
      <c r="T89" s="1739">
        <f t="shared" ref="T89:X89" si="51">SUM(T87:T88)</f>
        <v>34217.207699999999</v>
      </c>
      <c r="U89" s="1739">
        <f t="shared" si="51"/>
        <v>96803.942299999995</v>
      </c>
      <c r="V89" s="1739">
        <f t="shared" si="51"/>
        <v>102875.473</v>
      </c>
      <c r="W89" s="1739">
        <f t="shared" si="51"/>
        <v>84302.296700000006</v>
      </c>
      <c r="X89" s="1752">
        <f t="shared" si="51"/>
        <v>-11219.017499999998</v>
      </c>
      <c r="Y89" s="1740">
        <f t="shared" si="49"/>
        <v>327423.44520000002</v>
      </c>
    </row>
    <row r="90" spans="1:25" x14ac:dyDescent="0.2">
      <c r="A90" s="1685"/>
      <c r="B90" s="1685"/>
      <c r="C90" s="1685"/>
      <c r="D90" s="1685"/>
      <c r="E90" s="1685"/>
    </row>
    <row r="91" spans="1:25" ht="19.5" thickBot="1" x14ac:dyDescent="0.35">
      <c r="A91" s="1713" t="s">
        <v>1013</v>
      </c>
      <c r="B91" s="1714"/>
      <c r="C91" s="1714"/>
      <c r="D91" s="1714"/>
      <c r="E91" s="1714"/>
      <c r="F91" s="1715"/>
      <c r="H91" s="1693" t="s">
        <v>1409</v>
      </c>
      <c r="R91" s="1693" t="s">
        <v>1410</v>
      </c>
      <c r="T91" s="1579"/>
    </row>
    <row r="92" spans="1:25" ht="16.5" thickBot="1" x14ac:dyDescent="0.3">
      <c r="A92" s="1720"/>
      <c r="B92" s="1721" t="s">
        <v>968</v>
      </c>
      <c r="C92" s="1721" t="s">
        <v>969</v>
      </c>
      <c r="D92" s="1721" t="s">
        <v>970</v>
      </c>
      <c r="E92" s="1722" t="s">
        <v>971</v>
      </c>
      <c r="F92" s="1722" t="s">
        <v>972</v>
      </c>
      <c r="H92" s="1716" t="s">
        <v>221</v>
      </c>
      <c r="I92" s="1716" t="s">
        <v>18</v>
      </c>
      <c r="J92" s="1717" t="s">
        <v>17</v>
      </c>
      <c r="K92" s="1718" t="s">
        <v>16</v>
      </c>
      <c r="L92" s="1717" t="s">
        <v>15</v>
      </c>
      <c r="M92" s="1717" t="s">
        <v>14</v>
      </c>
      <c r="N92" s="1719" t="s">
        <v>13</v>
      </c>
      <c r="O92" s="1719" t="s">
        <v>1015</v>
      </c>
      <c r="R92" s="1716" t="s">
        <v>221</v>
      </c>
      <c r="S92" s="1716" t="s">
        <v>18</v>
      </c>
      <c r="T92" s="1717" t="s">
        <v>17</v>
      </c>
      <c r="U92" s="1718" t="s">
        <v>16</v>
      </c>
      <c r="V92" s="1717" t="s">
        <v>15</v>
      </c>
      <c r="W92" s="1717" t="s">
        <v>14</v>
      </c>
      <c r="X92" s="1719" t="s">
        <v>13</v>
      </c>
      <c r="Y92" s="1719" t="s">
        <v>1015</v>
      </c>
    </row>
    <row r="93" spans="1:25" ht="16.5" thickBot="1" x14ac:dyDescent="0.3">
      <c r="A93" s="1730" t="s">
        <v>547</v>
      </c>
      <c r="B93" s="1731">
        <v>0</v>
      </c>
      <c r="C93" s="1731">
        <f t="shared" ref="C93:C98" si="52">B93+I5-H5</f>
        <v>-388</v>
      </c>
      <c r="D93" s="1731">
        <f t="shared" ref="D93:D98" si="53">C93+I17-H17</f>
        <v>-845</v>
      </c>
      <c r="E93" s="1731">
        <f t="shared" ref="E93:E98" si="54">D93+I29-H29</f>
        <v>-453</v>
      </c>
      <c r="F93" s="1732">
        <f t="shared" ref="F93:F98" si="55">E93+I41-H41</f>
        <v>-2074</v>
      </c>
      <c r="H93" s="1742" t="s">
        <v>69</v>
      </c>
      <c r="I93" s="1743">
        <v>10618</v>
      </c>
      <c r="J93" s="1753">
        <v>10268</v>
      </c>
      <c r="K93" s="1744">
        <v>42792</v>
      </c>
      <c r="L93" s="1744">
        <v>44896</v>
      </c>
      <c r="M93" s="1753">
        <v>49145</v>
      </c>
      <c r="N93" s="1754">
        <v>22767</v>
      </c>
      <c r="O93" s="1727">
        <f>SUM(I93:N93)</f>
        <v>180486</v>
      </c>
      <c r="R93" s="1742" t="s">
        <v>69</v>
      </c>
      <c r="S93" s="1746">
        <f>S87</f>
        <v>11321.924800000001</v>
      </c>
      <c r="T93" s="1746">
        <f>J93</f>
        <v>10268</v>
      </c>
      <c r="U93" s="1748">
        <f>U87</f>
        <v>53494.821600000003</v>
      </c>
      <c r="V93" s="1748">
        <f>V87</f>
        <v>48732.441500000001</v>
      </c>
      <c r="W93" s="1748">
        <f>M93</f>
        <v>49145</v>
      </c>
      <c r="X93" s="1746">
        <f>N93</f>
        <v>22767</v>
      </c>
      <c r="Y93" s="1729">
        <f>SUM(S93:X93)</f>
        <v>195729.18790000002</v>
      </c>
    </row>
    <row r="94" spans="1:25" ht="15.75" x14ac:dyDescent="0.25">
      <c r="A94" s="1730" t="s">
        <v>548</v>
      </c>
      <c r="B94" s="1731">
        <v>0</v>
      </c>
      <c r="C94" s="1731">
        <f t="shared" si="52"/>
        <v>4059</v>
      </c>
      <c r="D94" s="1731">
        <f t="shared" si="53"/>
        <v>9606</v>
      </c>
      <c r="E94" s="1731">
        <f t="shared" si="54"/>
        <v>5470</v>
      </c>
      <c r="F94" s="1732">
        <f t="shared" si="55"/>
        <v>14811</v>
      </c>
      <c r="H94" s="1723" t="s">
        <v>70</v>
      </c>
      <c r="I94" s="1755">
        <v>10389</v>
      </c>
      <c r="J94" s="1725">
        <v>24505</v>
      </c>
      <c r="K94" s="1725">
        <v>38539</v>
      </c>
      <c r="L94" s="1756">
        <v>54989</v>
      </c>
      <c r="M94" s="1756">
        <v>48962</v>
      </c>
      <c r="N94" s="1757">
        <v>20512</v>
      </c>
      <c r="O94" s="1733">
        <f t="shared" ref="O94:O95" si="56">SUM(I94:N94)</f>
        <v>197896</v>
      </c>
      <c r="R94" s="1723" t="s">
        <v>70</v>
      </c>
      <c r="S94" s="1746">
        <f>I94</f>
        <v>10389</v>
      </c>
      <c r="T94" s="1746">
        <f>J94</f>
        <v>24505</v>
      </c>
      <c r="U94" s="1748">
        <f>U88</f>
        <v>43309.120699999999</v>
      </c>
      <c r="V94" s="1748">
        <f>L94</f>
        <v>54989</v>
      </c>
      <c r="W94" s="1748">
        <f>M94</f>
        <v>48962</v>
      </c>
      <c r="X94" s="1746">
        <f>N94</f>
        <v>20512</v>
      </c>
      <c r="Y94" s="1734">
        <f t="shared" ref="Y94:Y95" si="57">SUM(S94:X94)</f>
        <v>202666.1207</v>
      </c>
    </row>
    <row r="95" spans="1:25" ht="16.5" thickBot="1" x14ac:dyDescent="0.3">
      <c r="A95" s="1741" t="s">
        <v>549</v>
      </c>
      <c r="B95" s="1731">
        <v>0</v>
      </c>
      <c r="C95" s="1731">
        <f t="shared" si="52"/>
        <v>-4825</v>
      </c>
      <c r="D95" s="1731">
        <f t="shared" si="53"/>
        <v>-5478</v>
      </c>
      <c r="E95" s="1731">
        <f t="shared" si="54"/>
        <v>-10292</v>
      </c>
      <c r="F95" s="1732">
        <f t="shared" si="55"/>
        <v>-9601</v>
      </c>
      <c r="H95" s="1735" t="s">
        <v>68</v>
      </c>
      <c r="I95" s="1736">
        <f>SUM(I93:I94)</f>
        <v>21007</v>
      </c>
      <c r="J95" s="1736">
        <f t="shared" ref="J95:N95" si="58">SUM(J93:J94)</f>
        <v>34773</v>
      </c>
      <c r="K95" s="1736">
        <f t="shared" si="58"/>
        <v>81331</v>
      </c>
      <c r="L95" s="1736">
        <f t="shared" si="58"/>
        <v>99885</v>
      </c>
      <c r="M95" s="1736">
        <f t="shared" si="58"/>
        <v>98107</v>
      </c>
      <c r="N95" s="1737">
        <f t="shared" si="58"/>
        <v>43279</v>
      </c>
      <c r="O95" s="1738">
        <f t="shared" si="56"/>
        <v>378382</v>
      </c>
      <c r="R95" s="1735" t="s">
        <v>68</v>
      </c>
      <c r="S95" s="1739">
        <f>SUM(S93:S94)</f>
        <v>21710.924800000001</v>
      </c>
      <c r="T95" s="1739">
        <f t="shared" ref="T95:X95" si="59">SUM(T93:T94)</f>
        <v>34773</v>
      </c>
      <c r="U95" s="1739">
        <f t="shared" si="59"/>
        <v>96803.942299999995</v>
      </c>
      <c r="V95" s="1739">
        <f t="shared" si="59"/>
        <v>103721.4415</v>
      </c>
      <c r="W95" s="1739">
        <f t="shared" si="59"/>
        <v>98107</v>
      </c>
      <c r="X95" s="1752">
        <f t="shared" si="59"/>
        <v>43279</v>
      </c>
      <c r="Y95" s="1740">
        <f t="shared" si="57"/>
        <v>398395.30859999999</v>
      </c>
    </row>
    <row r="96" spans="1:25" ht="15.75" x14ac:dyDescent="0.25">
      <c r="A96" s="1741" t="s">
        <v>573</v>
      </c>
      <c r="B96" s="1731">
        <v>0</v>
      </c>
      <c r="C96" s="1731">
        <f t="shared" si="52"/>
        <v>2631</v>
      </c>
      <c r="D96" s="1731">
        <f t="shared" si="53"/>
        <v>1936</v>
      </c>
      <c r="E96" s="1731">
        <f t="shared" si="54"/>
        <v>7180</v>
      </c>
      <c r="F96" s="1732">
        <f t="shared" si="55"/>
        <v>5100</v>
      </c>
    </row>
    <row r="97" spans="1:15" ht="19.5" thickBot="1" x14ac:dyDescent="0.35">
      <c r="A97" s="1741" t="s">
        <v>552</v>
      </c>
      <c r="B97" s="1731">
        <v>0</v>
      </c>
      <c r="C97" s="1731">
        <f t="shared" si="52"/>
        <v>483</v>
      </c>
      <c r="D97" s="1731">
        <f t="shared" si="53"/>
        <v>1700</v>
      </c>
      <c r="E97" s="1731">
        <f t="shared" si="54"/>
        <v>109</v>
      </c>
      <c r="F97" s="1732">
        <f t="shared" si="55"/>
        <v>491</v>
      </c>
      <c r="H97" s="1693" t="s">
        <v>1483</v>
      </c>
      <c r="I97" s="1758"/>
      <c r="J97" s="1758"/>
      <c r="K97" s="1759"/>
      <c r="L97" s="1759"/>
      <c r="M97" s="1759"/>
      <c r="N97" s="1759"/>
    </row>
    <row r="98" spans="1:15" ht="16.5" thickBot="1" x14ac:dyDescent="0.3">
      <c r="A98" s="1741" t="s">
        <v>553</v>
      </c>
      <c r="B98" s="1731">
        <v>0</v>
      </c>
      <c r="C98" s="1731">
        <f t="shared" si="52"/>
        <v>-2816</v>
      </c>
      <c r="D98" s="1731">
        <f t="shared" si="53"/>
        <v>-1832</v>
      </c>
      <c r="E98" s="1731">
        <f t="shared" si="54"/>
        <v>544</v>
      </c>
      <c r="F98" s="1732">
        <f t="shared" si="55"/>
        <v>31265</v>
      </c>
      <c r="H98" s="1716" t="s">
        <v>221</v>
      </c>
      <c r="I98" s="1716" t="s">
        <v>18</v>
      </c>
      <c r="J98" s="1717" t="s">
        <v>17</v>
      </c>
      <c r="K98" s="1718" t="s">
        <v>16</v>
      </c>
      <c r="L98" s="1717" t="s">
        <v>15</v>
      </c>
      <c r="M98" s="1717" t="s">
        <v>14</v>
      </c>
      <c r="N98" s="1719" t="s">
        <v>13</v>
      </c>
      <c r="O98" s="1719" t="s">
        <v>1015</v>
      </c>
    </row>
    <row r="99" spans="1:15" ht="16.5" thickBot="1" x14ac:dyDescent="0.3">
      <c r="A99" s="1749" t="s">
        <v>68</v>
      </c>
      <c r="B99" s="1750">
        <f>SUM(B93:B98)</f>
        <v>0</v>
      </c>
      <c r="C99" s="1750">
        <f t="shared" ref="C99:F99" si="60">SUM(C93:C98)</f>
        <v>-856</v>
      </c>
      <c r="D99" s="1750">
        <f t="shared" si="60"/>
        <v>5087</v>
      </c>
      <c r="E99" s="1750">
        <f t="shared" si="60"/>
        <v>2558</v>
      </c>
      <c r="F99" s="1750">
        <f t="shared" si="60"/>
        <v>39992</v>
      </c>
      <c r="H99" s="1742" t="s">
        <v>69</v>
      </c>
      <c r="I99" s="1743">
        <f>H67+I93</f>
        <v>-21601</v>
      </c>
      <c r="J99" s="1743">
        <f>H68+J93</f>
        <v>47182</v>
      </c>
      <c r="K99" s="1743">
        <f>H69+K93</f>
        <v>177225</v>
      </c>
      <c r="L99" s="1743">
        <f>H70+L93</f>
        <v>78952</v>
      </c>
      <c r="M99" s="1743">
        <f>H71+M93</f>
        <v>46357</v>
      </c>
      <c r="N99" s="1743">
        <f>H72+N93</f>
        <v>20320</v>
      </c>
      <c r="O99" s="1760">
        <f>SUM(I99:N99)</f>
        <v>348435</v>
      </c>
    </row>
    <row r="100" spans="1:15" x14ac:dyDescent="0.2">
      <c r="B100" s="1761"/>
      <c r="C100" s="1761"/>
      <c r="D100" s="1761"/>
      <c r="E100" s="1761"/>
      <c r="F100" s="1761"/>
      <c r="H100" s="1723" t="s">
        <v>70</v>
      </c>
      <c r="I100" s="1755">
        <f>I67+I94</f>
        <v>-22447</v>
      </c>
      <c r="J100" s="1743">
        <f>I68+J94</f>
        <v>59381</v>
      </c>
      <c r="K100" s="1755">
        <f>I69+K94</f>
        <v>175819</v>
      </c>
      <c r="L100" s="1755">
        <f>I70+L94</f>
        <v>94996</v>
      </c>
      <c r="M100" s="1755">
        <f>I71+M94</f>
        <v>44631</v>
      </c>
      <c r="N100" s="1755">
        <f>I72+N94</f>
        <v>16716</v>
      </c>
      <c r="O100" s="1762">
        <f>SUM(I100:N100)</f>
        <v>369096</v>
      </c>
    </row>
    <row r="101" spans="1:15" ht="13.5" thickBot="1" x14ac:dyDescent="0.25">
      <c r="H101" s="1735" t="s">
        <v>68</v>
      </c>
      <c r="I101" s="1736">
        <f>SUM(I99:I100)</f>
        <v>-44048</v>
      </c>
      <c r="J101" s="1736">
        <f t="shared" ref="J101:N101" si="61">SUM(J99:J100)</f>
        <v>106563</v>
      </c>
      <c r="K101" s="1763">
        <f t="shared" si="61"/>
        <v>353044</v>
      </c>
      <c r="L101" s="1763">
        <f t="shared" si="61"/>
        <v>173948</v>
      </c>
      <c r="M101" s="1763">
        <f t="shared" si="61"/>
        <v>90988</v>
      </c>
      <c r="N101" s="1764">
        <f t="shared" si="61"/>
        <v>37036</v>
      </c>
      <c r="O101" s="1765">
        <f t="shared" ref="O101" si="62">SUM(I101:N101)</f>
        <v>717531</v>
      </c>
    </row>
    <row r="102" spans="1:15" x14ac:dyDescent="0.2">
      <c r="H102" s="1758"/>
      <c r="I102" s="1758"/>
      <c r="J102" s="1759"/>
      <c r="K102" s="1759"/>
      <c r="L102" s="1759"/>
      <c r="M102" s="1759"/>
    </row>
    <row r="103" spans="1:15" x14ac:dyDescent="0.2">
      <c r="O103" s="1580" t="s">
        <v>216</v>
      </c>
    </row>
  </sheetData>
  <sortState ref="A5:M10">
    <sortCondition ref="A5"/>
  </sortState>
  <mergeCells count="24">
    <mergeCell ref="B51:D51"/>
    <mergeCell ref="E51:G51"/>
    <mergeCell ref="H51:J51"/>
    <mergeCell ref="K51:M51"/>
    <mergeCell ref="B65:D65"/>
    <mergeCell ref="E65:G65"/>
    <mergeCell ref="H65:J65"/>
    <mergeCell ref="K65:M65"/>
    <mergeCell ref="B27:D27"/>
    <mergeCell ref="E27:G27"/>
    <mergeCell ref="H27:J27"/>
    <mergeCell ref="K27:M27"/>
    <mergeCell ref="B39:D39"/>
    <mergeCell ref="E39:G39"/>
    <mergeCell ref="H39:J39"/>
    <mergeCell ref="K39:M39"/>
    <mergeCell ref="B3:D3"/>
    <mergeCell ref="E3:G3"/>
    <mergeCell ref="H3:J3"/>
    <mergeCell ref="K3:M3"/>
    <mergeCell ref="B15:D15"/>
    <mergeCell ref="E15:G15"/>
    <mergeCell ref="H15:J15"/>
    <mergeCell ref="K15:M15"/>
  </mergeCells>
  <pageMargins left="0.70866141732283472" right="0.70866141732283472" top="0.74803149606299213" bottom="0.74803149606299213" header="0.31496062992125984" footer="0.31496062992125984"/>
  <pageSetup paperSize="9" scale="91" orientation="landscape"/>
  <extLst>
    <ext xmlns:mx="http://schemas.microsoft.com/office/mac/excel/2008/main" uri="{64002731-A6B0-56B0-2670-7721B7C09600}">
      <mx:PLV Mode="0" OnePage="0" WScale="0"/>
    </ext>
  </extLst>
</worksheet>
</file>

<file path=docProps/app.xml><?xml version="1.0" encoding="utf-8"?>
<ap:Properties xmlns:vt="http://schemas.openxmlformats.org/officeDocument/2006/docPropsVTypes" xmlns:ap="http://schemas.openxmlformats.org/officeDocument/2006/extended-properties">
  <ap:Application>Microsoft Excel</ap:Application>
  <ap:ScaleCrop>false</ap:ScaleCrop>
  <ap:LinksUpToDate>false</ap:LinksUpToDate>
  <ap:HyperlinksChanged>false</ap:HyperlinksChanged>
  <ap:AppVersion>14.0300</ap:AppVersion>
</ap:Properties>
</file>

<file path=docProps/core.xml><?xml version="1.0" encoding="utf-8"?>
<coreProperties xmlns:dc="http://purl.org/dc/elements/1.1/" xmlns:dcterms="http://purl.org/dc/terms/" xmlns:xsi="http://www.w3.org/2001/XMLSchema-instance" xmlns="http://schemas.openxmlformats.org/package/2006/metadata/core-properties"/>
</file>