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135" yWindow="300" windowWidth="8025" windowHeight="4545"/>
  </bookViews>
  <sheets>
    <sheet name="Logframe" sheetId="1" r:id="rId1"/>
    <sheet name="Results Chain" sheetId="3" r:id="rId2"/>
    <sheet name="Logframe Summary" sheetId="13" r:id="rId3"/>
    <sheet name="Annual Review" sheetId="7" r:id="rId4"/>
    <sheet name="Risk" sheetId="8" r:id="rId5"/>
    <sheet name="Delivery Plan" sheetId="10" r:id="rId6"/>
    <sheet name="Indicators" sheetId="9" r:id="rId7"/>
    <sheet name="Background" sheetId="12" r:id="rId8"/>
  </sheets>
  <definedNames>
    <definedName name="Ag_Livelihoods">Indicators!$C$23:$C$24</definedName>
    <definedName name="Food">Indicators!$C$5:$C$6</definedName>
    <definedName name="Health">Indicators!$C$12:$C$16</definedName>
    <definedName name="Imp_1_Source">Logframe!$D$7</definedName>
    <definedName name="Imp_2_Source">Logframe!$D$12</definedName>
    <definedName name="IMPACT">Logframe!$A$4</definedName>
    <definedName name="Impact_1_Achieved_Yr1">Logframe!$F$5</definedName>
    <definedName name="Impact_1_Achieved_Yr2">Logframe!$E$5</definedName>
    <definedName name="Impact_1_Achieved_Yr3">Logframe!#REF!</definedName>
    <definedName name="Impact_1_Baseline_Yr0">Logframe!$D$4</definedName>
    <definedName name="Impact_1_Planned_Yr1">Logframe!$E$4</definedName>
    <definedName name="Impact_1_Planned_Yr2">Logframe!$F$4</definedName>
    <definedName name="Impact_1_Planned_Yr3">Logframe!#REF!</definedName>
    <definedName name="Impact_2_Achieved_Yr1">Logframe!$E$10</definedName>
    <definedName name="Impact_2_Achieved_Yr2">Logframe!$F$10</definedName>
    <definedName name="Impact_2_Achieved_Yr3">Logframe!#REF!</definedName>
    <definedName name="Impact_2_Baseline_Yr0">Logframe!$D$9</definedName>
    <definedName name="Impact_2_Planned_Yr1">Logframe!$E$9</definedName>
    <definedName name="Impact_2_Planned_Yr2">Logframe!$F$9</definedName>
    <definedName name="Impact_2_Planned_Yr3">Logframe!#REF!</definedName>
    <definedName name="Impact_Indicator_1">Logframe!$B$4</definedName>
    <definedName name="Impact_Indicator_2">Logframe!$B$9</definedName>
    <definedName name="IMPACT_WEIGHTING_1">Logframe!$A$55</definedName>
    <definedName name="IMPACT_WEIGHTING_2">Logframe!$A$80</definedName>
    <definedName name="IMPACT_WEIGHTING_3">Logframe!$A$105</definedName>
    <definedName name="IMPACT_WEIGHTING_4">Logframe!$A$130</definedName>
    <definedName name="IMPACT_WEIGHTING_5">Logframe!$A$155</definedName>
    <definedName name="IMPACT_WEIGHTING_OUTPUT_1">Logframe!$A$55</definedName>
    <definedName name="IMPACT_WEIGHTING_OUTPUT_2">Logframe!$A$80</definedName>
    <definedName name="IMPACT_WEIGHTING_OUTPUT_4">Logframe!$A$105</definedName>
    <definedName name="IMPACT_WEIGHTING_OUTPUT_5">Logframe!$A$155</definedName>
    <definedName name="Out_1_Source">Logframe!$D$18</definedName>
    <definedName name="Out_2_Source">Logframe!$D$23</definedName>
    <definedName name="Out_3_Source">Logframe!$D$28</definedName>
    <definedName name="OUTCOME">Logframe!$A$15</definedName>
    <definedName name="Outcome_1_Achieved_Yr1">Logframe!$E$16</definedName>
    <definedName name="Outcome_1_Achieved_Yr2">Logframe!$F$16</definedName>
    <definedName name="Outcome_1_Achieved_Yr3">Logframe!#REF!</definedName>
    <definedName name="Outcome_1_Baseline_Yr0">Logframe!$D$15</definedName>
    <definedName name="Outcome_1_Planned_Yr1">Logframe!$E$15</definedName>
    <definedName name="Outcome_1_Planned_Yr2">Logframe!$F$15</definedName>
    <definedName name="Outcome_1_Planned_Yr3">Logframe!#REF!</definedName>
    <definedName name="Outcome_2_Achieved_Yr1">Logframe!$E$21</definedName>
    <definedName name="Outcome_2_Achieved_Yr2">Logframe!$F$21</definedName>
    <definedName name="Outcome_2_Achieved_Yr3">Logframe!#REF!</definedName>
    <definedName name="Outcome_2_Baseline_Yr0">Logframe!$D$20</definedName>
    <definedName name="Outcome_2_Planned_Yr1">Logframe!$E$20</definedName>
    <definedName name="Outcome_2_Planned_Yr2">Logframe!$F$20</definedName>
    <definedName name="Outcome_2_Planned_Yr3">Logframe!#REF!</definedName>
    <definedName name="Outcome_3_Achieved_Yr1">Logframe!$E$26</definedName>
    <definedName name="Outcome_3_Achieved_Yr2">Logframe!$F$26</definedName>
    <definedName name="Outcome_3_Achieved_Yr3">Logframe!#REF!</definedName>
    <definedName name="Outcome_3_Baseline_Yr0">Logframe!$D$25</definedName>
    <definedName name="Outcome_3_Planned_Yr1">Logframe!$E$25</definedName>
    <definedName name="Outcome_3_Planned_Yr2">Logframe!$F$25</definedName>
    <definedName name="Outcome_3_Planned_Yr3">Logframe!#REF!</definedName>
    <definedName name="Outcome_Indicator_1">Logframe!$B$15</definedName>
    <definedName name="Outcome_Indicator_2">Logframe!$B$20</definedName>
    <definedName name="Outcome_Indicator_3">Logframe!$B$25</definedName>
    <definedName name="OUTPUT_1">Logframe!$A$35</definedName>
    <definedName name="Output_1.1_Achieved_Yr1">Logframe!$E$36</definedName>
    <definedName name="Output_1.1_Achieved_Yr2">Logframe!$F$36</definedName>
    <definedName name="Output_1.1_Achieved_Yr3">Logframe!#REF!</definedName>
    <definedName name="Output_1.1_Baseline_Yr0">Logframe!$D$35</definedName>
    <definedName name="Output_1.1_Planned_Yr1">Logframe!$E$35</definedName>
    <definedName name="Output_1.1_Planned_Yr2">Logframe!$F$35</definedName>
    <definedName name="Output_1.1_Planned_Yr3">Logframe!#REF!</definedName>
    <definedName name="Output_1.1_Source">Logframe!$C$38</definedName>
    <definedName name="Output_1.2_Achieved_Yr1">Logframe!$E$41</definedName>
    <definedName name="Output_1.2_Achieved_Yr2">Logframe!$F$41</definedName>
    <definedName name="Output_1.2_Achieved_Yr3">Logframe!#REF!</definedName>
    <definedName name="Output_1.2_Baseline_Yr0">Logframe!$D$40</definedName>
    <definedName name="Output_1.2_Planned_Yr1">Logframe!$E$40</definedName>
    <definedName name="Output_1.2_Planned_Yr2">Logframe!$F$40</definedName>
    <definedName name="Output_1.2_Planned_Yr3">Logframe!#REF!</definedName>
    <definedName name="Output_1.2_Source">Logframe!#REF!</definedName>
    <definedName name="Output_1.3_Achieved_Yr1">Logframe!$E$46</definedName>
    <definedName name="Output_1.3_Achieved_Yr2">Logframe!$F$46</definedName>
    <definedName name="Output_1.3_Achieved_Yr3">Logframe!#REF!</definedName>
    <definedName name="Output_1.3_Baseline_Yr0">Logframe!$D$45</definedName>
    <definedName name="Output_1.3_Planned_Yr1">Logframe!$E$45</definedName>
    <definedName name="Output_1.3_Planned_Yr2">Logframe!$F$45</definedName>
    <definedName name="Output_1.3_Planned_Yr3">Logframe!#REF!</definedName>
    <definedName name="Output_1.3_Source">Logframe!$C$48</definedName>
    <definedName name="Output_1.4_Achieved_Yr1">Logframe!$E$51</definedName>
    <definedName name="Output_1.4_Achieved_Yr2">Logframe!$F$51</definedName>
    <definedName name="Output_1.4_Achieved_Yr3">Logframe!#REF!</definedName>
    <definedName name="Output_1.4_Baseline_Yr0">Logframe!$D$50</definedName>
    <definedName name="Output_1.4_Planned_Yr1">Logframe!$E$50</definedName>
    <definedName name="Output_1.4_Planned_Yr2">Logframe!$F$50</definedName>
    <definedName name="Output_1.4_Planned_Yr3">Logframe!#REF!</definedName>
    <definedName name="Output_1.4_Source">Logframe!$C$53</definedName>
    <definedName name="OUTPUT_2">Logframe!$A$65</definedName>
    <definedName name="Output_2.1_Achieved_Yr1">Logframe!$E$66</definedName>
    <definedName name="Output_2.1_Achieved_Yr2">Logframe!$F$66</definedName>
    <definedName name="Output_2.1_Achieved_Yr3">Logframe!#REF!</definedName>
    <definedName name="Output_2.1_Baseline_Yr0">Logframe!$D$65</definedName>
    <definedName name="Output_2.1_Planned_Yr1">Logframe!$E$65</definedName>
    <definedName name="Output_2.1_Planned_Yr2">Logframe!$F$65</definedName>
    <definedName name="Output_2.1_Planned_Yr3">Logframe!#REF!</definedName>
    <definedName name="Output_2.1_Source">Logframe!$C$68</definedName>
    <definedName name="Output_2.2_Achieved_Yr1">Logframe!$E$71</definedName>
    <definedName name="Output_2.2_Achieved_Yr2">Logframe!$F$71</definedName>
    <definedName name="Output_2.2_Achieved_Yr3">Logframe!#REF!</definedName>
    <definedName name="Output_2.2_Baseline_Yr0">Logframe!$D$70</definedName>
    <definedName name="Output_2.2_Planned_Yr1">Logframe!$E$70</definedName>
    <definedName name="Output_2.2_Planned_Yr2">Logframe!$F$70</definedName>
    <definedName name="Output_2.2_Planned_Yr3">Logframe!#REF!</definedName>
    <definedName name="Output_2.2_Source">Logframe!$C$73</definedName>
    <definedName name="Output_2.3_Achieved_Yr1">Logframe!$E$76</definedName>
    <definedName name="Output_2.3_Achieved_Yr2">Logframe!$F$76</definedName>
    <definedName name="Output_2.3_Achieved_Yr3">Logframe!#REF!</definedName>
    <definedName name="Output_2.3_Baseline_Yr0">Logframe!$D$75</definedName>
    <definedName name="Output_2.3_Planned_Yr1">Logframe!$E$75</definedName>
    <definedName name="Output_2.3_Planned_Yr2">Logframe!$F$75</definedName>
    <definedName name="Output_2.3_Planned_Yr3">Logframe!#REF!</definedName>
    <definedName name="Output_2.3_Source">Logframe!$C$78</definedName>
    <definedName name="Output_2.4_Achieved_Yr1">Logframe!$E$81</definedName>
    <definedName name="Output_2.4_Achieved_Yr2">Logframe!$F$81</definedName>
    <definedName name="Output_2.4_Achieved_Yr3">Logframe!#REF!</definedName>
    <definedName name="Output_2.4_Baseline_Yr0">Logframe!$D$80</definedName>
    <definedName name="Output_2.4_Planned_Yr1">Logframe!$E$80</definedName>
    <definedName name="Output_2.4_Planned_Yr2">Logframe!$F$80</definedName>
    <definedName name="Output_2.4_Planned_Yr3">Logframe!#REF!</definedName>
    <definedName name="Output_2.4_Source">Logframe!$C$83</definedName>
    <definedName name="OUTPUT_3">Logframe!$A$90</definedName>
    <definedName name="Output_3.1_Achieved_Yr1">Logframe!$E$91</definedName>
    <definedName name="Output_3.1_Achieved_Yr2">Logframe!$F$91</definedName>
    <definedName name="Output_3.1_Achieved_Yr3">Logframe!#REF!</definedName>
    <definedName name="Output_3.1_Baseline_Yr0">Logframe!$D$90</definedName>
    <definedName name="Output_3.1_Planned_Yr1">Logframe!$E$90</definedName>
    <definedName name="Output_3.1_Planned_Yr2">Logframe!$F$90</definedName>
    <definedName name="Output_3.1_Planned_Yr3">Logframe!#REF!</definedName>
    <definedName name="Output_3.1_Source">Logframe!$C$93</definedName>
    <definedName name="Output_3.2_Achieved_Yr1">Logframe!$E$96</definedName>
    <definedName name="Output_3.2_Achieved_Yr2">Logframe!$F$96</definedName>
    <definedName name="Output_3.2_Achieved_Yr3">Logframe!#REF!</definedName>
    <definedName name="Output_3.2_Baseline_Yr0">Logframe!$D$95</definedName>
    <definedName name="Output_3.2_Planned_Yr1">Logframe!$E$95</definedName>
    <definedName name="Output_3.2_Planned_Yr2">Logframe!$F$95</definedName>
    <definedName name="Output_3.2_Planned_Yr3">Logframe!#REF!</definedName>
    <definedName name="Output_3.2_Source">Logframe!$C$98</definedName>
    <definedName name="Output_3.3_Achieved_Yr1">Logframe!$E$101</definedName>
    <definedName name="Output_3.3_Achieved_Yr2">Logframe!$F$101</definedName>
    <definedName name="Output_3.3_Achieved_Yr3">Logframe!#REF!</definedName>
    <definedName name="Output_3.3_Baseline_Yr0">Logframe!$D$100</definedName>
    <definedName name="Output_3.3_Planned_Yr1">Logframe!$E$100</definedName>
    <definedName name="Output_3.3_Planned_Yr2">Logframe!$F$100</definedName>
    <definedName name="Output_3.3_Planned_Yr3">Logframe!#REF!</definedName>
    <definedName name="Output_3.3_Source">Logframe!$C$103</definedName>
    <definedName name="Output_3.4_Achieved_Yr1">Logframe!$E$106</definedName>
    <definedName name="Output_3.4_Achieved_Yr2">Logframe!$F$106</definedName>
    <definedName name="Output_3.4_Achieved_Yr3">Logframe!#REF!</definedName>
    <definedName name="Output_3.4_Baseline_Yr0">Logframe!$D$105</definedName>
    <definedName name="Output_3.4_Planned_Yr1">Logframe!$E$105</definedName>
    <definedName name="Output_3.4_Planned_Yr2">Logframe!$F$105</definedName>
    <definedName name="Output_3.4_Planned_Yr3">Logframe!#REF!</definedName>
    <definedName name="Output_3.4_Source">Logframe!$C$108</definedName>
    <definedName name="OUTPUT_4">Logframe!$A$115</definedName>
    <definedName name="Output_4.1_Achieved_Yr1">Logframe!$E$116</definedName>
    <definedName name="Output_4.1_Achieved_Yr2">Logframe!$F$116</definedName>
    <definedName name="Output_4.1_Achieved_Yr3">Logframe!#REF!</definedName>
    <definedName name="Output_4.1_Baseline_Yr0">Logframe!$D$115</definedName>
    <definedName name="Output_4.1_Planned_Yr1">Logframe!$E$115</definedName>
    <definedName name="Output_4.1_Planned_Yr2">Logframe!$F$115</definedName>
    <definedName name="Output_4.1_Planned_Yr3">Logframe!#REF!</definedName>
    <definedName name="Output_4.1_Source">Logframe!$C$118</definedName>
    <definedName name="Output_4.2_Achieved_Yr1">Logframe!$E$122</definedName>
    <definedName name="Output_4.2_Achieved_Yr2">Logframe!$F$122</definedName>
    <definedName name="Output_4.2_Achieved_Yr3">Logframe!#REF!</definedName>
    <definedName name="Output_4.2_Baseline_Yr0">Logframe!$D$121</definedName>
    <definedName name="Output_4.2_Planned_Yr1">Logframe!$E$121</definedName>
    <definedName name="Output_4.2_Planned_Yr2">Logframe!$F$120</definedName>
    <definedName name="Output_4.2_Planned_Yr3">Logframe!#REF!</definedName>
    <definedName name="Output_4.2_Source">Logframe!$C$123</definedName>
    <definedName name="Output_4.3_Achieved_Yr1">Logframe!$E$126</definedName>
    <definedName name="Output_4.3_Achieved_Yr2">Logframe!$F$126</definedName>
    <definedName name="Output_4.3_Achieved_Yr3">Logframe!#REF!</definedName>
    <definedName name="Output_4.3_Baseline_Yr0">Logframe!$D$125</definedName>
    <definedName name="Output_4.3_Planned_Yr1">Logframe!$E$125</definedName>
    <definedName name="Output_4.3_Planned_Yr2">Logframe!$F$125</definedName>
    <definedName name="Output_4.3_Planned_Yr3">Logframe!#REF!</definedName>
    <definedName name="Output_4.3_Source">Logframe!$C$128</definedName>
    <definedName name="Output_4.4_Achieved_Yr1">Logframe!$E$131</definedName>
    <definedName name="Output_4.4_Achieved_Yr2">Logframe!$F$131</definedName>
    <definedName name="Output_4.4_Achieved_Yr3">Logframe!#REF!</definedName>
    <definedName name="Output_4.4_Baseline_Yr0">Logframe!$D$130</definedName>
    <definedName name="Output_4.4_Planned_Yr1">Logframe!$E$130</definedName>
    <definedName name="Output_4.4_Planned_Yr2">Logframe!$F$130</definedName>
    <definedName name="Output_4.4_Planned_Yr3">Logframe!#REF!</definedName>
    <definedName name="Output_4.4_Source">Logframe!$C$133</definedName>
    <definedName name="OUTPUT_5">Logframe!$A$140</definedName>
    <definedName name="Output_5.1_Achieved_Yr1">Logframe!$E$141</definedName>
    <definedName name="Output_5.1_Achieved_Yr2">Logframe!$F$141</definedName>
    <definedName name="Output_5.1_Achieved_Yr3">Logframe!#REF!</definedName>
    <definedName name="Output_5.1_Baseline_Yr0">Logframe!$D$140</definedName>
    <definedName name="Output_5.1_Planned_Yr1">Logframe!$E$140</definedName>
    <definedName name="Output_5.1_Planned_Yr2">Logframe!$F$140</definedName>
    <definedName name="Output_5.1_Planned_Yr3">Logframe!#REF!</definedName>
    <definedName name="Output_5.1_Source">Logframe!$C$143</definedName>
    <definedName name="Output_5.2_Achieved_Yr1">Logframe!$E$146</definedName>
    <definedName name="Output_5.2_Achieved_Yr2">Logframe!$F$146</definedName>
    <definedName name="Output_5.2_Achieved_Yr3">Logframe!#REF!</definedName>
    <definedName name="Output_5.2_Baseline_Yr0">Logframe!$D$145</definedName>
    <definedName name="Output_5.2_Planned_Yr1">Logframe!$E$145</definedName>
    <definedName name="Output_5.2_Planned_Yr2">Logframe!$F$145</definedName>
    <definedName name="Output_5.2_Planned_Yr3">Logframe!#REF!</definedName>
    <definedName name="Output_5.2_Source">Logframe!$C$148</definedName>
    <definedName name="Output_5.3_Achieved_Yr1">Logframe!$E$151</definedName>
    <definedName name="Output_5.3_Achieved_Yr2">Logframe!$F$151</definedName>
    <definedName name="Output_5.3_Achieved_Yr3">Logframe!#REF!</definedName>
    <definedName name="Output_5.3_Baseline_Yr0">Logframe!$D$150</definedName>
    <definedName name="Output_5.3_Planned_Yr1">Logframe!$E$150</definedName>
    <definedName name="Output_5.3_Planned_Yr2">Logframe!$F$150</definedName>
    <definedName name="Output_5.3_Planned_Yr3">Logframe!#REF!</definedName>
    <definedName name="Output_5.3_Source">Logframe!$C$153</definedName>
    <definedName name="Output_5.4_Achieved_Yr1">Logframe!$E$156</definedName>
    <definedName name="Output_5.4_Achieved_Yr2">Logframe!$F$156</definedName>
    <definedName name="Output_5.4_Achieved_Yr3">Logframe!#REF!</definedName>
    <definedName name="Output_5.4_Baseline_Yr0">Logframe!$D$155</definedName>
    <definedName name="Output_5.4_Planned_Yr1">Logframe!$E$155</definedName>
    <definedName name="Output_5.4_Planned_Yr2">Logframe!$F$155</definedName>
    <definedName name="Output_5.4_Planned_Yr3">Logframe!#REF!</definedName>
    <definedName name="Output_5.4_Source">Logframe!$C$158</definedName>
    <definedName name="Output_Indicator_1.1">Logframe!$B$35</definedName>
    <definedName name="Output_Indicator_1.2">Logframe!$B$40</definedName>
    <definedName name="Output_Indicator_1.3">Logframe!$B$45</definedName>
    <definedName name="Output_Indicator_1.4">Logframe!$B$50</definedName>
    <definedName name="Output_Indicator_2.1">Logframe!$B$65</definedName>
    <definedName name="Output_Indicator_2.2">Logframe!$B$70</definedName>
    <definedName name="Output_Indicator_2.3">Logframe!$B$75</definedName>
    <definedName name="Output_Indicator_2.4">Logframe!$B$80</definedName>
    <definedName name="Output_Indicator_3.1">Logframe!$B$90</definedName>
    <definedName name="Output_Indicator_3.2">Logframe!$B$95</definedName>
    <definedName name="Output_Indicator_3.3">Logframe!$B$100</definedName>
    <definedName name="Output_Indicator_3.4">Logframe!$B$105</definedName>
    <definedName name="Output_Indicator_4.1">Logframe!$B$20</definedName>
    <definedName name="Output_Indicator_4.2">Logframe!$B$120</definedName>
    <definedName name="Output_Indicator_4.3">Logframe!$B$125</definedName>
    <definedName name="Output_Indicator_4.4">Logframe!$B$130</definedName>
    <definedName name="Output_Indicator_5.1">Logframe!$B$140</definedName>
    <definedName name="Output_Indicator_5.2">Logframe!$B$145</definedName>
    <definedName name="Output_Indicator_5.3">Logframe!$B$150</definedName>
    <definedName name="Output_Indicator_5.4">Logframe!$B$155</definedName>
    <definedName name="Planned">Logframe!$D$15</definedName>
    <definedName name="_xlnm.Print_Area" localSheetId="3">'Annual Review'!$B$1:$O$39</definedName>
    <definedName name="_xlnm.Print_Area" localSheetId="0">Logframe!$A$2:$G$161</definedName>
    <definedName name="PROJECT_NAME">Logframe!$B$2</definedName>
    <definedName name="Protection">Indicators!$C$26:$C$30</definedName>
    <definedName name="Risk_Rating">'Annual Review'!$B$50:$B$52</definedName>
    <definedName name="Score">#REF!</definedName>
    <definedName name="Shelter_NFIs">Indicators!$C$18:$C$21</definedName>
    <definedName name="Wash">Indicators!$C$8:$C$10</definedName>
  </definedNames>
  <calcPr calcId="145621"/>
</workbook>
</file>

<file path=xl/calcChain.xml><?xml version="1.0" encoding="utf-8"?>
<calcChain xmlns="http://schemas.openxmlformats.org/spreadsheetml/2006/main">
  <c r="H15" i="13" l="1"/>
  <c r="K2" i="13"/>
  <c r="J2" i="13"/>
  <c r="E11" i="13"/>
  <c r="K37" i="13"/>
  <c r="J37" i="13"/>
  <c r="H37" i="13"/>
  <c r="K36" i="13"/>
  <c r="J36" i="13"/>
  <c r="H36" i="13"/>
  <c r="K35" i="13"/>
  <c r="J35" i="13"/>
  <c r="H35" i="13"/>
  <c r="K34" i="13"/>
  <c r="J34" i="13"/>
  <c r="H34" i="13"/>
  <c r="E34" i="13"/>
  <c r="D34" i="13"/>
  <c r="K32" i="13"/>
  <c r="J32" i="13"/>
  <c r="H32" i="13"/>
  <c r="K31" i="13"/>
  <c r="J31" i="13"/>
  <c r="H31" i="13"/>
  <c r="K30" i="13"/>
  <c r="J30" i="13"/>
  <c r="H30" i="13"/>
  <c r="K29" i="13"/>
  <c r="J29" i="13"/>
  <c r="E29" i="13"/>
  <c r="D29" i="13"/>
  <c r="K26" i="13"/>
  <c r="J26" i="13"/>
  <c r="H26" i="13"/>
  <c r="K25" i="13"/>
  <c r="J25" i="13"/>
  <c r="H25" i="13"/>
  <c r="K24" i="13"/>
  <c r="J24" i="13"/>
  <c r="H24" i="13"/>
  <c r="K23" i="13"/>
  <c r="J23" i="13"/>
  <c r="H23" i="13"/>
  <c r="E23" i="13"/>
  <c r="D23" i="13"/>
  <c r="K20" i="13"/>
  <c r="J20" i="13"/>
  <c r="H20" i="13"/>
  <c r="K19" i="13"/>
  <c r="J19" i="13"/>
  <c r="H19" i="13"/>
  <c r="K18" i="13"/>
  <c r="J18" i="13"/>
  <c r="H18" i="13"/>
  <c r="K17" i="13"/>
  <c r="J17" i="13"/>
  <c r="H17" i="13"/>
  <c r="E17" i="13"/>
  <c r="D17" i="13"/>
  <c r="K15" i="13"/>
  <c r="K14" i="13"/>
  <c r="J14" i="13"/>
  <c r="H14" i="13"/>
  <c r="K13" i="13"/>
  <c r="J13" i="13"/>
  <c r="H13" i="13"/>
  <c r="K12" i="13"/>
  <c r="J12" i="13"/>
  <c r="H12" i="13"/>
  <c r="K11" i="13"/>
  <c r="J11" i="13"/>
  <c r="H11" i="13"/>
  <c r="D11" i="13"/>
  <c r="K9" i="13"/>
  <c r="J9" i="13"/>
  <c r="H9" i="13"/>
  <c r="K8" i="13"/>
  <c r="J8" i="13"/>
  <c r="H8" i="13"/>
  <c r="K7" i="13"/>
  <c r="J7" i="13"/>
  <c r="H7" i="13"/>
  <c r="D7" i="13"/>
  <c r="K5" i="13"/>
  <c r="J5" i="13"/>
  <c r="H5" i="13"/>
  <c r="K4" i="13"/>
  <c r="J4" i="13"/>
  <c r="H4" i="13"/>
  <c r="D4" i="13"/>
  <c r="E100" i="1" l="1"/>
  <c r="E95" i="1"/>
  <c r="E90" i="1"/>
  <c r="E75" i="1"/>
  <c r="E70" i="1"/>
  <c r="E65" i="1"/>
  <c r="E55" i="1"/>
  <c r="E50" i="1"/>
  <c r="F54" i="1"/>
  <c r="E54" i="1"/>
  <c r="D54" i="1"/>
  <c r="F49" i="1"/>
  <c r="E49" i="1"/>
  <c r="D49" i="1"/>
  <c r="F44" i="1"/>
  <c r="E44" i="1"/>
  <c r="D44" i="1"/>
  <c r="F39" i="1"/>
  <c r="E39" i="1"/>
  <c r="D39" i="1"/>
  <c r="F34" i="1"/>
  <c r="D34" i="1"/>
  <c r="E34" i="1"/>
  <c r="E45" i="1"/>
  <c r="E40" i="1"/>
  <c r="E35" i="1"/>
  <c r="R17" i="7" l="1"/>
  <c r="Q17" i="7"/>
  <c r="I4" i="7"/>
  <c r="J17" i="7"/>
  <c r="I17" i="7"/>
  <c r="G17" i="7"/>
  <c r="E94" i="1" l="1"/>
  <c r="E89" i="1"/>
  <c r="D94" i="1"/>
  <c r="D89" i="1"/>
  <c r="D7" i="3"/>
  <c r="D6" i="3"/>
  <c r="F4" i="8" l="1"/>
  <c r="G4" i="8" s="1"/>
  <c r="H4" i="8" s="1"/>
  <c r="F5" i="8"/>
  <c r="G5" i="8" s="1"/>
  <c r="H5" i="8" s="1"/>
  <c r="F6" i="8"/>
  <c r="G6" i="8" s="1"/>
  <c r="H6" i="8" s="1"/>
  <c r="F7" i="8"/>
  <c r="F8" i="8"/>
  <c r="G8" i="8" s="1"/>
  <c r="H8" i="8" s="1"/>
  <c r="F9" i="8"/>
  <c r="G9" i="8" s="1"/>
  <c r="H9" i="8" s="1"/>
  <c r="F10" i="8"/>
  <c r="G10" i="8" s="1"/>
  <c r="H10" i="8" s="1"/>
  <c r="F11" i="8"/>
  <c r="F12" i="8"/>
  <c r="G12" i="8" s="1"/>
  <c r="H12" i="8" s="1"/>
  <c r="F13" i="8"/>
  <c r="G13" i="8" s="1"/>
  <c r="H13" i="8" s="1"/>
  <c r="F14" i="8"/>
  <c r="G14" i="8" s="1"/>
  <c r="H14" i="8" s="1"/>
  <c r="F15" i="8"/>
  <c r="F16" i="8"/>
  <c r="G16" i="8" s="1"/>
  <c r="H16" i="8" s="1"/>
  <c r="F17" i="8"/>
  <c r="G17" i="8" s="1"/>
  <c r="H17" i="8" s="1"/>
  <c r="F18" i="8"/>
  <c r="G18" i="8" s="1"/>
  <c r="H18" i="8" s="1"/>
  <c r="F19" i="8"/>
  <c r="F20" i="8"/>
  <c r="G20" i="8" s="1"/>
  <c r="H20" i="8" s="1"/>
  <c r="F21" i="8"/>
  <c r="G21" i="8" s="1"/>
  <c r="H21" i="8" s="1"/>
  <c r="F22" i="8"/>
  <c r="G22" i="8" s="1"/>
  <c r="H22" i="8" s="1"/>
  <c r="F23" i="8"/>
  <c r="F24" i="8"/>
  <c r="G24" i="8" s="1"/>
  <c r="H24" i="8" s="1"/>
  <c r="F25" i="8"/>
  <c r="G25" i="8" s="1"/>
  <c r="H25" i="8" s="1"/>
  <c r="F26" i="8"/>
  <c r="G26" i="8" s="1"/>
  <c r="H26" i="8" s="1"/>
  <c r="F27" i="8"/>
  <c r="F28" i="8"/>
  <c r="G28" i="8" s="1"/>
  <c r="H28" i="8" s="1"/>
  <c r="F29" i="8"/>
  <c r="G29" i="8" s="1"/>
  <c r="H29" i="8" s="1"/>
  <c r="F30" i="8"/>
  <c r="G30" i="8" s="1"/>
  <c r="H30" i="8" s="1"/>
  <c r="F31" i="8"/>
  <c r="F32" i="8"/>
  <c r="G32" i="8" s="1"/>
  <c r="H32" i="8" s="1"/>
  <c r="F33" i="8"/>
  <c r="G33" i="8" s="1"/>
  <c r="H33" i="8" s="1"/>
  <c r="F34" i="8"/>
  <c r="G34" i="8" s="1"/>
  <c r="H34" i="8" s="1"/>
  <c r="F35" i="8"/>
  <c r="F36" i="8"/>
  <c r="G36" i="8" s="1"/>
  <c r="H36" i="8" s="1"/>
  <c r="F37" i="8"/>
  <c r="G37" i="8" s="1"/>
  <c r="H37" i="8" s="1"/>
  <c r="F38" i="8"/>
  <c r="G38" i="8" s="1"/>
  <c r="H38" i="8" s="1"/>
  <c r="F39" i="8"/>
  <c r="F40" i="8"/>
  <c r="G40" i="8" s="1"/>
  <c r="H40" i="8" s="1"/>
  <c r="F41" i="8"/>
  <c r="G41" i="8" s="1"/>
  <c r="H41" i="8" s="1"/>
  <c r="F42" i="8"/>
  <c r="G42" i="8" s="1"/>
  <c r="H42" i="8" s="1"/>
  <c r="F43" i="8"/>
  <c r="F44" i="8"/>
  <c r="G44" i="8" s="1"/>
  <c r="H44" i="8" s="1"/>
  <c r="F45" i="8"/>
  <c r="G45" i="8" s="1"/>
  <c r="H45" i="8" s="1"/>
  <c r="F46" i="8"/>
  <c r="G46" i="8" s="1"/>
  <c r="H46" i="8" s="1"/>
  <c r="F47" i="8"/>
  <c r="F48" i="8"/>
  <c r="G48" i="8" s="1"/>
  <c r="H48" i="8" s="1"/>
  <c r="F49" i="8"/>
  <c r="G49" i="8" s="1"/>
  <c r="H49" i="8" s="1"/>
  <c r="F50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G7" i="8"/>
  <c r="H7" i="8" s="1"/>
  <c r="G11" i="8"/>
  <c r="H11" i="8" s="1"/>
  <c r="G15" i="8"/>
  <c r="H15" i="8" s="1"/>
  <c r="G19" i="8"/>
  <c r="H19" i="8" s="1"/>
  <c r="G23" i="8"/>
  <c r="H23" i="8" s="1"/>
  <c r="G27" i="8"/>
  <c r="H27" i="8" s="1"/>
  <c r="G31" i="8"/>
  <c r="H31" i="8" s="1"/>
  <c r="G35" i="8"/>
  <c r="H35" i="8" s="1"/>
  <c r="G39" i="8"/>
  <c r="H39" i="8" s="1"/>
  <c r="G43" i="8"/>
  <c r="H43" i="8" s="1"/>
  <c r="G47" i="8"/>
  <c r="H47" i="8" s="1"/>
  <c r="F3" i="8"/>
  <c r="D3" i="8"/>
  <c r="G3" i="8" s="1"/>
  <c r="H3" i="8" s="1"/>
  <c r="N5" i="12"/>
  <c r="O5" i="12"/>
  <c r="P5" i="12"/>
  <c r="Q5" i="12"/>
  <c r="N6" i="12"/>
  <c r="O6" i="12"/>
  <c r="P6" i="12"/>
  <c r="Q6" i="12"/>
  <c r="N7" i="12"/>
  <c r="O7" i="12"/>
  <c r="P7" i="12"/>
  <c r="Q7" i="12"/>
  <c r="N8" i="12"/>
  <c r="O8" i="12"/>
  <c r="P8" i="12"/>
  <c r="Q8" i="12"/>
  <c r="N9" i="12"/>
  <c r="O9" i="12"/>
  <c r="P9" i="12"/>
  <c r="Q9" i="12"/>
  <c r="M6" i="12"/>
  <c r="M7" i="12"/>
  <c r="M8" i="12"/>
  <c r="M9" i="12"/>
  <c r="M5" i="12"/>
  <c r="D5" i="3" l="1"/>
  <c r="D74" i="1" l="1"/>
  <c r="E74" i="1"/>
  <c r="F74" i="1"/>
  <c r="F8" i="1" l="1"/>
  <c r="F14" i="1"/>
  <c r="F19" i="1"/>
  <c r="F24" i="1"/>
  <c r="F79" i="1"/>
  <c r="F99" i="1"/>
  <c r="F104" i="1"/>
  <c r="F149" i="1"/>
  <c r="F154" i="1"/>
  <c r="R31" i="7" l="1"/>
  <c r="I27" i="7"/>
  <c r="Q27" i="7"/>
  <c r="R13" i="7"/>
  <c r="J13" i="7" l="1"/>
  <c r="U9" i="7" l="1"/>
  <c r="M9" i="7"/>
  <c r="M19" i="7"/>
  <c r="M13" i="7"/>
  <c r="I13" i="7" l="1"/>
  <c r="G14" i="7" l="1"/>
  <c r="E24" i="7" l="1"/>
  <c r="E13" i="7"/>
  <c r="G22" i="7" l="1"/>
  <c r="R37" i="7"/>
  <c r="R36" i="7"/>
  <c r="R35" i="7"/>
  <c r="R34" i="7"/>
  <c r="R32" i="7"/>
  <c r="R30" i="7"/>
  <c r="R29" i="7"/>
  <c r="R27" i="7"/>
  <c r="R26" i="7"/>
  <c r="R25" i="7"/>
  <c r="R24" i="7"/>
  <c r="R22" i="7"/>
  <c r="R21" i="7"/>
  <c r="R20" i="7"/>
  <c r="R19" i="7"/>
  <c r="R16" i="7"/>
  <c r="R15" i="7"/>
  <c r="R14" i="7"/>
  <c r="R11" i="7"/>
  <c r="R10" i="7"/>
  <c r="R9" i="7"/>
  <c r="R7" i="7"/>
  <c r="R6" i="7"/>
  <c r="Q37" i="7"/>
  <c r="Q36" i="7"/>
  <c r="Q35" i="7"/>
  <c r="Q34" i="7"/>
  <c r="Q32" i="7"/>
  <c r="Q31" i="7"/>
  <c r="Q30" i="7"/>
  <c r="Q29" i="7"/>
  <c r="Q26" i="7"/>
  <c r="Q25" i="7"/>
  <c r="Q24" i="7"/>
  <c r="Q22" i="7"/>
  <c r="Q21" i="7"/>
  <c r="Q20" i="7"/>
  <c r="Q19" i="7"/>
  <c r="Q16" i="7"/>
  <c r="Q15" i="7"/>
  <c r="Q14" i="7"/>
  <c r="Q13" i="7"/>
  <c r="Q11" i="7"/>
  <c r="Q10" i="7"/>
  <c r="Q9" i="7"/>
  <c r="Q7" i="7"/>
  <c r="Q6" i="7"/>
  <c r="I34" i="7"/>
  <c r="I35" i="7"/>
  <c r="I36" i="7"/>
  <c r="I37" i="7"/>
  <c r="J37" i="7"/>
  <c r="J36" i="7"/>
  <c r="J35" i="7"/>
  <c r="J34" i="7"/>
  <c r="J32" i="7"/>
  <c r="J31" i="7"/>
  <c r="J30" i="7"/>
  <c r="J29" i="7"/>
  <c r="I32" i="7"/>
  <c r="I31" i="7"/>
  <c r="I30" i="7"/>
  <c r="I29" i="7"/>
  <c r="I26" i="7"/>
  <c r="I25" i="7"/>
  <c r="I24" i="7"/>
  <c r="J27" i="7"/>
  <c r="J26" i="7"/>
  <c r="J25" i="7"/>
  <c r="J24" i="7"/>
  <c r="J22" i="7"/>
  <c r="J21" i="7"/>
  <c r="J20" i="7"/>
  <c r="J19" i="7"/>
  <c r="I22" i="7"/>
  <c r="I21" i="7"/>
  <c r="I20" i="7"/>
  <c r="I19" i="7"/>
  <c r="J16" i="7"/>
  <c r="J15" i="7"/>
  <c r="J14" i="7"/>
  <c r="I16" i="7"/>
  <c r="I15" i="7"/>
  <c r="I14" i="7"/>
  <c r="J10" i="7"/>
  <c r="J9" i="7"/>
  <c r="I10" i="7"/>
  <c r="I11" i="7"/>
  <c r="J11" i="7"/>
  <c r="I9" i="7"/>
  <c r="J7" i="7"/>
  <c r="I7" i="7"/>
  <c r="J6" i="7"/>
  <c r="I6" i="7"/>
  <c r="D6" i="7"/>
  <c r="G6" i="7"/>
  <c r="G7" i="7"/>
  <c r="D9" i="7"/>
  <c r="G9" i="7"/>
  <c r="G10" i="7"/>
  <c r="G11" i="7"/>
  <c r="D13" i="7"/>
  <c r="G13" i="7"/>
  <c r="G15" i="7"/>
  <c r="G16" i="7"/>
  <c r="D19" i="7"/>
  <c r="E19" i="7"/>
  <c r="G19" i="7"/>
  <c r="G20" i="7"/>
  <c r="G21" i="7"/>
  <c r="D24" i="7"/>
  <c r="G24" i="7"/>
  <c r="G25" i="7"/>
  <c r="G26" i="7"/>
  <c r="G27" i="7"/>
  <c r="D29" i="7"/>
  <c r="E29" i="7"/>
  <c r="G30" i="7"/>
  <c r="G31" i="7"/>
  <c r="G32" i="7"/>
  <c r="D34" i="7"/>
  <c r="E34" i="7"/>
  <c r="G34" i="7"/>
  <c r="G35" i="7"/>
  <c r="G36" i="7"/>
  <c r="G37" i="7"/>
  <c r="C2" i="3" l="1"/>
  <c r="H5" i="3"/>
  <c r="F5" i="3"/>
  <c r="D9" i="3"/>
  <c r="D8" i="3"/>
  <c r="C9" i="3"/>
  <c r="C8" i="3"/>
  <c r="E79" i="1"/>
  <c r="D79" i="1"/>
  <c r="Q4" i="7"/>
  <c r="D19" i="1"/>
  <c r="E19" i="1"/>
  <c r="D24" i="1"/>
  <c r="E24" i="1"/>
  <c r="B1" i="7"/>
  <c r="E149" i="1"/>
  <c r="D149" i="1"/>
  <c r="E99" i="1"/>
  <c r="D99" i="1"/>
  <c r="D10" i="3" l="1"/>
  <c r="U29" i="7"/>
  <c r="M29" i="7"/>
  <c r="T4" i="7"/>
  <c r="W4" i="7" s="1"/>
  <c r="U34" i="7"/>
  <c r="U24" i="7"/>
  <c r="U19" i="7"/>
  <c r="U13" i="7"/>
  <c r="L4" i="7"/>
  <c r="O4" i="7" s="1"/>
  <c r="U39" i="7" l="1"/>
  <c r="T39" i="7" s="1"/>
  <c r="M34" i="7"/>
  <c r="M24" i="7"/>
  <c r="E154" i="1"/>
  <c r="D154" i="1"/>
  <c r="E104" i="1"/>
  <c r="D104" i="1"/>
  <c r="E14" i="1"/>
  <c r="D14" i="1"/>
  <c r="E8" i="1"/>
  <c r="D8" i="1"/>
  <c r="M39" i="7" l="1"/>
  <c r="L39" i="7" s="1"/>
  <c r="E39" i="7"/>
</calcChain>
</file>

<file path=xl/comments1.xml><?xml version="1.0" encoding="utf-8"?>
<x:comments xmlns:x="http://schemas.openxmlformats.org/spreadsheetml/2006/main">
  <x:authors>
    <x:author>Rachael Beaven</x:author>
  </x:authors>
  <x:commentList/>
</x:comments>
</file>

<file path=xl/comments2.xml><?xml version="1.0" encoding="utf-8"?>
<x:comments xmlns:x="http://schemas.openxmlformats.org/spreadsheetml/2006/main">
  <x:authors>
    <x:author>Rachael Beaven</x:author>
  </x:authors>
  <x:commentList/>
</x:comments>
</file>

<file path=xl/sharedStrings.xml><?xml version="1.0" encoding="utf-8"?>
<sst xmlns="http://schemas.openxmlformats.org/spreadsheetml/2006/main" count="547" uniqueCount="296">
  <si>
    <t>PROJECT NAME</t>
  </si>
  <si>
    <t>IMPACT</t>
  </si>
  <si>
    <t>Planned</t>
  </si>
  <si>
    <t>Achieved</t>
  </si>
  <si>
    <t>Source</t>
  </si>
  <si>
    <t>OUTCOME</t>
  </si>
  <si>
    <t>Assumptions</t>
  </si>
  <si>
    <t>INPUTS (£)</t>
  </si>
  <si>
    <t>DFID (£)</t>
  </si>
  <si>
    <t>Govt (£)</t>
  </si>
  <si>
    <t>Other (£)</t>
  </si>
  <si>
    <t>Total (£)</t>
  </si>
  <si>
    <t>INPUTS (HR)</t>
  </si>
  <si>
    <t>DFID (FTEs)</t>
  </si>
  <si>
    <t>Assumption</t>
  </si>
  <si>
    <t>IMPACT WEIGHTING (%)</t>
  </si>
  <si>
    <t>RISK RATING</t>
  </si>
  <si>
    <t>Output Indicator 1.1</t>
  </si>
  <si>
    <t>Output Indicator 1.2</t>
  </si>
  <si>
    <t>Output Indicator 1.3</t>
  </si>
  <si>
    <t>Output Indicator 2.2</t>
  </si>
  <si>
    <t>Output Indicator 2.3</t>
  </si>
  <si>
    <t>Impact Indicator 1</t>
  </si>
  <si>
    <t>Impact Indicator 2</t>
  </si>
  <si>
    <t>Medium</t>
  </si>
  <si>
    <t>OUTPUTS</t>
  </si>
  <si>
    <t>Indicators</t>
  </si>
  <si>
    <t>Results Chain</t>
  </si>
  <si>
    <t>Outcome Indicator 1</t>
  </si>
  <si>
    <t>Outcome Indicator 2</t>
  </si>
  <si>
    <t>Outcome Indicator 3</t>
  </si>
  <si>
    <t xml:space="preserve">OUTPUT 1 </t>
  </si>
  <si>
    <t>OUTPUT 2</t>
  </si>
  <si>
    <t>OUTPUT 3</t>
  </si>
  <si>
    <t>Output Indicator 3.2</t>
  </si>
  <si>
    <t>Output Indicator 3.3</t>
  </si>
  <si>
    <t>Score</t>
  </si>
  <si>
    <t>A++</t>
  </si>
  <si>
    <t>A+</t>
  </si>
  <si>
    <t>B</t>
  </si>
  <si>
    <t>C</t>
  </si>
  <si>
    <t>A</t>
  </si>
  <si>
    <t>Low</t>
  </si>
  <si>
    <t>High</t>
  </si>
  <si>
    <t>Threshold</t>
  </si>
  <si>
    <t>Value</t>
  </si>
  <si>
    <t>OUTPUT 4</t>
  </si>
  <si>
    <t>Output Indicator 4.2</t>
  </si>
  <si>
    <t>Output Indicator 4.3</t>
  </si>
  <si>
    <t>n/a</t>
  </si>
  <si>
    <t>Outputs moderately exceeded expectation</t>
  </si>
  <si>
    <t>Outputs met expectation</t>
  </si>
  <si>
    <t>Outputs substantially exceeded expectation</t>
  </si>
  <si>
    <t>Outputs moderately did not meet expectations</t>
  </si>
  <si>
    <t>Outputs substantially did not meet expectations</t>
  </si>
  <si>
    <t xml:space="preserve">Risk </t>
  </si>
  <si>
    <t>OUTPUT 5</t>
  </si>
  <si>
    <t>Output Indicator 5.1</t>
  </si>
  <si>
    <t>Output Indicator 5.2</t>
  </si>
  <si>
    <t>Output Indicator 5.3</t>
  </si>
  <si>
    <t>Output Indicator 1.4</t>
  </si>
  <si>
    <t>Output Indicator 2.4</t>
  </si>
  <si>
    <t>Output Indicator 4.4</t>
  </si>
  <si>
    <t>Output Indicator 5.4</t>
  </si>
  <si>
    <t>OVERALL OUTPUT  SCORE</t>
  </si>
  <si>
    <t>Output Indicator 3.4</t>
  </si>
  <si>
    <t>Output Indicator 1.5</t>
  </si>
  <si>
    <t>Baseline 2014</t>
  </si>
  <si>
    <t>Milestone 2015</t>
  </si>
  <si>
    <t>Target 2016</t>
  </si>
  <si>
    <t>Output Indicator 2.1</t>
  </si>
  <si>
    <t>Output Indicator 3.1</t>
  </si>
  <si>
    <t>Output Indicator 4.1</t>
  </si>
  <si>
    <t>Impact</t>
  </si>
  <si>
    <t>Potential Risk</t>
  </si>
  <si>
    <t xml:space="preserve">PLEASE NOTE - NON RED TABS ON THIS WORKBOOK ARE SELF POPULATING FROM THE RED TABS. PLEASE POPULATE THE RED TABS. </t>
  </si>
  <si>
    <t>Sector</t>
  </si>
  <si>
    <t>Food</t>
  </si>
  <si>
    <t>Wash</t>
  </si>
  <si>
    <t>Water</t>
  </si>
  <si>
    <t>Sanitation</t>
  </si>
  <si>
    <t>Hygiene</t>
  </si>
  <si>
    <t>Health</t>
  </si>
  <si>
    <t>Shelter/NFIs</t>
  </si>
  <si>
    <t>Shelter</t>
  </si>
  <si>
    <t>NFIs</t>
  </si>
  <si>
    <t>Agriculture/ Livelihoods</t>
  </si>
  <si>
    <t>Agriculture</t>
  </si>
  <si>
    <t>Livelihoods</t>
  </si>
  <si>
    <t>Protection</t>
  </si>
  <si>
    <t>Education</t>
  </si>
  <si>
    <t>Enabling activities</t>
  </si>
  <si>
    <t>Number of monthly full food packages/vouchers/cash provided to individuals</t>
  </si>
  <si>
    <t>Number of supplementary food interventions (packages, hot meals, vouchers, cash) distributed</t>
  </si>
  <si>
    <t>Number of beneficiaries provided with drinking water</t>
  </si>
  <si>
    <t>Number of beneficiaries reached with sanitation activities</t>
  </si>
  <si>
    <t>Number of beneficiaries reached with hygiene activities</t>
  </si>
  <si>
    <t>Number of primary health care consultations</t>
  </si>
  <si>
    <t>Number of trauma consultations</t>
  </si>
  <si>
    <t>Number of health workers trained</t>
  </si>
  <si>
    <t>Number of vaccinations provided</t>
  </si>
  <si>
    <t>Number of facilities benefitting from medical supplies</t>
  </si>
  <si>
    <t>Number of people supported through shelter interventions</t>
  </si>
  <si>
    <t>Number of relief packages distributed</t>
  </si>
  <si>
    <t>Number of individuals benefiting from relief packages</t>
  </si>
  <si>
    <t>Number of cash grants, intended to purchase relief items, distributed</t>
  </si>
  <si>
    <t xml:space="preserve">Number of people supported through agricultural interventions </t>
  </si>
  <si>
    <t>Number of people supported through livelihood interventions</t>
  </si>
  <si>
    <t>Number of people benefitting from SGBV services</t>
  </si>
  <si>
    <t xml:space="preserve">Number of children supported by psycho-social interventions </t>
  </si>
  <si>
    <t>Number of adults supported by psycho-social interventions</t>
  </si>
  <si>
    <t>Number of people trained in MHPSS and GBV services provided</t>
  </si>
  <si>
    <t>Number of child/adolescent friendly places/child psychosocial service centres</t>
  </si>
  <si>
    <t>Number of pupils per month provided with formal education</t>
  </si>
  <si>
    <t>Number of pupils per month provided with informal education</t>
  </si>
  <si>
    <t>Number of school supplies provided</t>
  </si>
  <si>
    <t>Number of improved school facilities</t>
  </si>
  <si>
    <t>Number of people targeted with humanitarian information campaigns</t>
  </si>
  <si>
    <t>Number of pupils provided with school supplies</t>
  </si>
  <si>
    <t>7.3a</t>
  </si>
  <si>
    <t>NOTES</t>
  </si>
  <si>
    <t>Min 1500 Kcal</t>
  </si>
  <si>
    <t>Number of high quality needs assessments undertaken</t>
  </si>
  <si>
    <t>High quality defined as: relevant topic, good use of analysis, objective, clear recommendations targeted at policy makers</t>
  </si>
  <si>
    <t>Issues/areas discussed</t>
  </si>
  <si>
    <t xml:space="preserve">Meeting notes Quest no. </t>
  </si>
  <si>
    <t>Date</t>
  </si>
  <si>
    <t>Who (DPM/Adviser)</t>
  </si>
  <si>
    <t>Notes/Completed? (Y, N, Partial)</t>
  </si>
  <si>
    <t xml:space="preserve">Key Quest doc no. </t>
  </si>
  <si>
    <t>By when (date)?</t>
  </si>
  <si>
    <t xml:space="preserve">Details of the action </t>
  </si>
  <si>
    <t>Action to be taken by</t>
  </si>
  <si>
    <r>
      <t xml:space="preserve">F.  RECORD OF KEY ACTIONS TO BE TAKEN BY THE SYRIA TEAM OR  PARTNER 
</t>
    </r>
    <r>
      <rPr>
        <sz val="10"/>
        <color rgb="FFFFFFFF"/>
        <rFont val="Calibri"/>
        <family val="2"/>
      </rPr>
      <t>(INCLUDING ISSUES TO BE ADDRESSED FROM BUSINESS CASE, DUE DILIGENCE ASSESSMENT, ANNUAL REVIEW, PERFORMANCE IMPROVEMENT PLAN AND FIELD MONITORING REPORTS)</t>
    </r>
  </si>
  <si>
    <t>Partner’s Annual Audited Accounts have been quested (update each year)</t>
  </si>
  <si>
    <t xml:space="preserve">For projects using UK aid branding, digital elements (e.g. websites) have been reviewed by the DFID’s Digital Service Team </t>
  </si>
  <si>
    <t>After MoU/GA has been signed</t>
  </si>
  <si>
    <t>Has the formal MoU/GA with 2 signatures been quested?</t>
  </si>
  <si>
    <t>Onecopy is to be stored in the agreement hardcopies folder</t>
  </si>
  <si>
    <t>One copy is to be sent to DFID accounts payable with the RFF</t>
  </si>
  <si>
    <t>One copy is to be retained by the agency</t>
  </si>
  <si>
    <t>Have you printed, had signed and couriered 3 copies to the agency? Of which:</t>
  </si>
  <si>
    <t>Has the MoU been signed by Matthew Wyatt (or Anna Morris in his absence)</t>
  </si>
  <si>
    <t>When finalising the MoU or GA</t>
  </si>
  <si>
    <t>Does MoU/GA include paragrah on Counter Terrorism legislation?</t>
  </si>
  <si>
    <t>Does MoU/GA include paragraph on proactively notifying DFID of issues affecting registration for agencies on XB?</t>
  </si>
  <si>
    <t>Does MoU/GA include paragraph on proactively notifying DFID of loss/fraud/damage to supplies/operations?</t>
  </si>
  <si>
    <t>Does MoU/GA include paragraph detailing reporting dates and deliverables?</t>
  </si>
  <si>
    <t>Does MoU/GA include paragraph on branding?</t>
  </si>
  <si>
    <t>Does MoU/GA include paragraph on sanctions for AGs?</t>
  </si>
  <si>
    <t>Does MoU/GA include paragraph on contingency of year 2 funding where multiyear?</t>
  </si>
  <si>
    <t>When drafting the MoU or GA</t>
  </si>
  <si>
    <t>If funding covers retroactive results (backdating the grant) this has been approved by the SOR or FCPD</t>
  </si>
  <si>
    <t>Partner has been consulted if they would  like advanced or arrears quarterly payments (only applicable to NGOs)</t>
  </si>
  <si>
    <t>Counter terrorism legislation has been discussed with partner and partner is aware of their responsibilities</t>
  </si>
  <si>
    <t xml:space="preserve">UK aid branding letter and guidelines have been sent to the partner and partner has agreed to comply </t>
  </si>
  <si>
    <t>Before signing the MoU/GA</t>
  </si>
  <si>
    <t>Due Diligence Assessment has been sent to Risk and Control</t>
  </si>
  <si>
    <t>Financial assets have been recorded in the database</t>
  </si>
  <si>
    <t xml:space="preserve">Reporting calendar has been recorded in the database </t>
  </si>
  <si>
    <t>Logframe data has been recorded in the database (update each year)</t>
  </si>
  <si>
    <t>Project details have been recorded in the database</t>
  </si>
  <si>
    <t>If cost extension under the umbrella BC the appropriate amounts have been PROJMed from the dumping component and profiled by FY</t>
  </si>
  <si>
    <t>In ARIES a single PO for the grant with separate lines for each FY of each country (and linking to the component code) has been set up</t>
  </si>
  <si>
    <t>Financial project details have been recorded in the regional allocation spreadsheet (update each year)</t>
  </si>
  <si>
    <t xml:space="preserve">International Engagement Team have been informed of project financial details for SoS announcements </t>
  </si>
  <si>
    <t xml:space="preserve">Partner has confirmed if they are content to be named publically </t>
  </si>
  <si>
    <t xml:space="preserve">All  relevant project documents (e.g. Business Case, IRS, Proposal, Logframe) have been quested </t>
  </si>
  <si>
    <t>For more significant/larger grants a letter has been sent from the Secretary of State to the partner</t>
  </si>
  <si>
    <t>Partner has been informed that the project has been approved</t>
  </si>
  <si>
    <t>Project has been approved by Lindy/Matthew in ARIES</t>
  </si>
  <si>
    <t>After project approval (within first week)</t>
  </si>
  <si>
    <t>For multilaterals the logframe has been sent to the  DFID institutional lead for their review (ensuring it reflects MAR reforms)</t>
  </si>
  <si>
    <t>Project logframe has been approved by the Syria team M&amp;E lead</t>
  </si>
  <si>
    <t xml:space="preserve">Reporting guidance has been shared with partner and partner has agreed to comply </t>
  </si>
  <si>
    <t>DPM has read the Syria M&amp;E paper and understands  responsabilities/steps that must be followed for reporting and annual reviews</t>
  </si>
  <si>
    <t>A PROJAs has been completed in ARIES ensuring the prepipeline amounts are correct</t>
  </si>
  <si>
    <t>A new project has been set up in ARIES with each country taking a separate component code</t>
  </si>
  <si>
    <t>Before project approval</t>
  </si>
  <si>
    <t>Completed? 
(Yes, No, Partial, Exempt, N/A)</t>
  </si>
  <si>
    <t>Action</t>
  </si>
  <si>
    <t xml:space="preserve">E. CHECKLIST FOR KEY SYRIA TEAM AND DFID SMART RULES KEY REQUIREMENTS  </t>
  </si>
  <si>
    <t>D.  SUMMARY OF PROJECT PROGRESS AND KEY ISSUES  SINCE LAST MEETING WITH SRO</t>
  </si>
  <si>
    <t>Performance Improvement Plan:</t>
  </si>
  <si>
    <t>Project Completion Review:</t>
  </si>
  <si>
    <t xml:space="preserve">Logframe: </t>
  </si>
  <si>
    <t>Due Diligence Assessment:</t>
  </si>
  <si>
    <t>Grant Agreement:</t>
  </si>
  <si>
    <t xml:space="preserve">Business Case: </t>
  </si>
  <si>
    <t>Quest Number</t>
  </si>
  <si>
    <t>Document</t>
  </si>
  <si>
    <t>C. KEY PROJECT DOCUMENTATION</t>
  </si>
  <si>
    <t>Other Advisers (country):</t>
  </si>
  <si>
    <t xml:space="preserve">Lead Humanitarian Adviser: </t>
  </si>
  <si>
    <t>DPM/Project Officer:</t>
  </si>
  <si>
    <t>Senior Responsible Owner:</t>
  </si>
  <si>
    <t>Latest Annual Review Score:</t>
  </si>
  <si>
    <t>Telephone:</t>
  </si>
  <si>
    <t>E-mail:</t>
  </si>
  <si>
    <t>Job Title:</t>
  </si>
  <si>
    <t>Name:</t>
  </si>
  <si>
    <t>Partner contact details:</t>
  </si>
  <si>
    <t>Implementing partner:</t>
  </si>
  <si>
    <t>Start/End Date:</t>
  </si>
  <si>
    <t>Total Value (£):</t>
  </si>
  <si>
    <t>Sector:</t>
  </si>
  <si>
    <t>Country:</t>
  </si>
  <si>
    <t>Component code:</t>
  </si>
  <si>
    <t>ARIES Project Number:</t>
  </si>
  <si>
    <t xml:space="preserve">Project Title: </t>
  </si>
  <si>
    <t>A. BASIC PROJECT INFORMATION</t>
  </si>
  <si>
    <t>Last updated (date):</t>
  </si>
  <si>
    <t xml:space="preserve">Delivery Plan </t>
  </si>
  <si>
    <t>SRO</t>
  </si>
  <si>
    <t>Formal letter to partner explaining PIP</t>
  </si>
  <si>
    <t>Formal response from partner with key actions</t>
  </si>
  <si>
    <t>DPM</t>
  </si>
  <si>
    <t>Monthly field level meetings on finance, performance against logframe and risk mitigation measures</t>
  </si>
  <si>
    <t>Monthly/quarterly HQ meetings</t>
  </si>
  <si>
    <t>Obligations expected of  partners and their downstream partners under the UK Bribery Act 2010 have been discussed and agreed with partner</t>
  </si>
  <si>
    <t xml:space="preserve">Version No. </t>
  </si>
  <si>
    <t>Author</t>
  </si>
  <si>
    <t>Summary of changes</t>
  </si>
  <si>
    <t>Quest references</t>
  </si>
  <si>
    <t>Approved by</t>
  </si>
  <si>
    <t xml:space="preserve">I. PERFORMANCE IMPROVEMENT PLAN (if needed, key actions are already included as below)  </t>
  </si>
  <si>
    <t>Gross Risk</t>
  </si>
  <si>
    <t xml:space="preserve">Risk Rating </t>
  </si>
  <si>
    <t>Likelihood</t>
  </si>
  <si>
    <t>No</t>
  </si>
  <si>
    <t>Net Risk</t>
  </si>
  <si>
    <t>Mitigation actions by partner</t>
  </si>
  <si>
    <t>Any additional mitigation actions by DFID</t>
  </si>
  <si>
    <t>Risk Factor</t>
  </si>
  <si>
    <t>Likelihood of occurrence</t>
  </si>
  <si>
    <t>Almost certain</t>
  </si>
  <si>
    <t xml:space="preserve">Likely </t>
  </si>
  <si>
    <t>Possible</t>
  </si>
  <si>
    <t>Unlikely</t>
  </si>
  <si>
    <t>Rare</t>
  </si>
  <si>
    <t>Severe</t>
  </si>
  <si>
    <t>Major</t>
  </si>
  <si>
    <t>Moderate</t>
  </si>
  <si>
    <t>Minor</t>
  </si>
  <si>
    <t>Insignificant</t>
  </si>
  <si>
    <t>Combined Risk Factor</t>
  </si>
  <si>
    <t>&gt;15</t>
  </si>
  <si>
    <t>8 to 14</t>
  </si>
  <si>
    <t>5 to7</t>
  </si>
  <si>
    <t>1 to 4</t>
  </si>
  <si>
    <t>Likelihood value</t>
  </si>
  <si>
    <t>Combined risk factor</t>
  </si>
  <si>
    <t>Where (London HQ, country)</t>
  </si>
  <si>
    <t>G.  RECORD OF QUARTERLY MEETINGS/COMMUNICATIONS WITH PARTNER (this table should also be completed at the planning stage with the quarterly meetings expected to happen with partners)</t>
  </si>
  <si>
    <t xml:space="preserve">Last updated (date) </t>
  </si>
  <si>
    <t>H.  FIELD MONITORING  (this table should completed with details of the planned field monitoring, in general this should be at least once per year in each country, except Syria)</t>
  </si>
  <si>
    <t xml:space="preserve">I. LOGFRAME CHANGES (if needed record any changes to the logframe in the seciton below)  </t>
  </si>
  <si>
    <t>Field Monitoring Report (provide details in section H)</t>
  </si>
  <si>
    <t>Annual Review (last, include score):</t>
  </si>
  <si>
    <t xml:space="preserve">B.1 SYRIA TEAM PROJECT LEADS </t>
  </si>
  <si>
    <t xml:space="preserve">B.2 SRO OBJECTIVES FOR THE PROJECT </t>
  </si>
  <si>
    <t>Lives saved, suffering reduced, dignity maintained and resilience promoted</t>
  </si>
  <si>
    <t>Target 2015</t>
  </si>
  <si>
    <t>Critical humanitarian needs alleviated amongst conflict affected persons</t>
  </si>
  <si>
    <t>Emergency assistance in WASH, Health, Nutrition, Education, Protection and Basic Needs provided within Syria</t>
  </si>
  <si>
    <t>Emergency assistance in WASH, Health, Nutrition, Education, Protection and Basic Needs provided within Lebanon</t>
  </si>
  <si>
    <t>Emergency assistance in WASH, Health, Nutrition, Education, Protection and Basic Needs provided within Jordan</t>
  </si>
  <si>
    <t>Essential services provided in Syria</t>
  </si>
  <si>
    <t>Essential services provided in Lebanon</t>
  </si>
  <si>
    <t>Essential services provided in Jordan</t>
  </si>
  <si>
    <t xml:space="preserve">
</t>
  </si>
  <si>
    <t>Baseline 2015</t>
  </si>
  <si>
    <t>WEIGHTING</t>
  </si>
  <si>
    <t>Weighting</t>
  </si>
  <si>
    <t>Support to UNICEF for Syria Crisis</t>
  </si>
  <si>
    <t>CHASE assessment from Annual Review</t>
  </si>
  <si>
    <t xml:space="preserve">
CHASE Annual Review score on reform priorities</t>
  </si>
  <si>
    <t>N/A</t>
  </si>
  <si>
    <t>N/A as one year humanitarian programme</t>
  </si>
  <si>
    <t>June 2015</t>
  </si>
  <si>
    <t>tbc</t>
  </si>
  <si>
    <t xml:space="preserve">Extent to which UNICEF has adopted a whole of Syria approach measured on scale of 0 to 25 
</t>
  </si>
  <si>
    <t xml:space="preserve">DFID Whole of Syria approach assessment </t>
  </si>
  <si>
    <t xml:space="preserve">Food:-Number of supplementary food interventions (packages, hot meals, vouchers, cash) provided to individuals. </t>
  </si>
  <si>
    <t>WASH -  Number of beneficiaries provided with drinking water</t>
  </si>
  <si>
    <t>Health - Number of vaccinations provided</t>
  </si>
  <si>
    <t>Protection - Number of child visits (daily sign-ins) to child/adolescent friendly spaces</t>
  </si>
  <si>
    <t>Education - Number of pupils provided with access to non-formal education</t>
  </si>
  <si>
    <t>Appeal document</t>
  </si>
  <si>
    <t>Education - Number of beneficiaries of teaching and learning materials provided</t>
  </si>
  <si>
    <t>WASH - Number of beneficiaries provided with drinking water</t>
  </si>
  <si>
    <t>Syria</t>
  </si>
  <si>
    <t>Lebanon</t>
  </si>
  <si>
    <t>Jordan</t>
  </si>
  <si>
    <t>Country</t>
  </si>
  <si>
    <t>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</si>
</sst>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&quot;£&quot;* #,##0.00_);_(&quot;£&quot;* \(#,##0.00\);_(&quot;£&quot;* &quot;-&quot;??_);_(@_)"/>
    <numFmt numFmtId="165" formatCode="_(* #,##0.00_);_(* \(#,##0.00\);_(* &quot;-&quot;??_);_(@_)"/>
    <numFmt numFmtId="166" formatCode="0.0"/>
    <numFmt numFmtId="167" formatCode="0.0%"/>
    <numFmt numFmtId="168" formatCode="_-&quot;£&quot;* #,##0_-;\-&quot;£&quot;* #,##0_-;_-&quot;£&quot;* &quot;-&quot;??_-;_-@_-"/>
    <numFmt numFmtId="169" formatCode="_(&quot;$&quot;* #,##0.00_);_(&quot;$&quot;* \(#,##0.00\);_(&quot;$&quot;* &quot;-&quot;??_);_(@_)"/>
    <numFmt numFmtId="170" formatCode="dd/mm/yyyy;@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indexed="9"/>
      <name val="Arial"/>
      <family val="2"/>
    </font>
    <font>
      <sz val="16"/>
      <color indexed="1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6"/>
      <color indexed="62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10"/>
      <color indexed="9"/>
      <name val="Arial"/>
      <family val="2"/>
    </font>
    <font>
      <b/>
      <sz val="16"/>
      <color theme="4" tint="-0.249977111117893"/>
      <name val="Arial"/>
      <family val="2"/>
    </font>
    <font>
      <sz val="10"/>
      <color theme="6" tint="-0.249977111117893"/>
      <name val="Arial"/>
      <family val="2"/>
    </font>
    <font>
      <b/>
      <sz val="16"/>
      <color theme="0"/>
      <name val="Arial"/>
      <family val="2"/>
    </font>
    <font>
      <b/>
      <sz val="12"/>
      <color theme="4" tint="-0.249977111117893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0"/>
      <name val="Arial"/>
      <family val="2"/>
    </font>
    <font>
      <b/>
      <sz val="12"/>
      <color theme="3" tint="-0.249977111117893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FFFF"/>
      <name val="Calibri"/>
      <family val="2"/>
    </font>
    <font>
      <sz val="10"/>
      <color rgb="FFFFFFFF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1">
    <xf numFmtId="0" fontId="0" fillId="0" borderId="0"/>
    <xf numFmtId="9" fontId="4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447">
    <xf numFmtId="0" fontId="0" fillId="0" borderId="0" xfId="0"/>
    <xf numFmtId="0" fontId="5" fillId="9" borderId="0" xfId="0" applyFont="1" applyFill="1" applyAlignment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0" fillId="9" borderId="0" xfId="0" applyFill="1"/>
    <xf numFmtId="0" fontId="19" fillId="9" borderId="0" xfId="0" applyFont="1" applyFill="1" applyAlignment="1">
      <alignment wrapText="1"/>
    </xf>
    <xf numFmtId="0" fontId="19" fillId="9" borderId="0" xfId="0" applyFont="1" applyFill="1"/>
    <xf numFmtId="0" fontId="0" fillId="9" borderId="0" xfId="0" applyFill="1" applyAlignment="1">
      <alignment wrapText="1"/>
    </xf>
    <xf numFmtId="0" fontId="0" fillId="9" borderId="0" xfId="0" applyFill="1" applyBorder="1"/>
    <xf numFmtId="0" fontId="12" fillId="9" borderId="0" xfId="0" applyFont="1" applyFill="1" applyBorder="1" applyAlignment="1">
      <alignment horizontal="center" vertical="center"/>
    </xf>
    <xf numFmtId="0" fontId="0" fillId="9" borderId="0" xfId="0" applyFill="1" applyBorder="1" applyAlignment="1"/>
    <xf numFmtId="0" fontId="0" fillId="9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wrapText="1"/>
    </xf>
    <xf numFmtId="0" fontId="12" fillId="9" borderId="0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9" fontId="0" fillId="10" borderId="0" xfId="0" applyNumberFormat="1" applyFill="1" applyBorder="1" applyAlignment="1">
      <alignment horizontal="center" vertical="center" wrapText="1"/>
    </xf>
    <xf numFmtId="0" fontId="14" fillId="9" borderId="0" xfId="0" applyFont="1" applyFill="1" applyBorder="1"/>
    <xf numFmtId="0" fontId="16" fillId="12" borderId="0" xfId="0" applyFont="1" applyFill="1" applyBorder="1" applyAlignment="1">
      <alignment horizontal="center" vertical="center"/>
    </xf>
    <xf numFmtId="0" fontId="13" fillId="10" borderId="0" xfId="0" applyFont="1" applyFill="1" applyBorder="1" applyAlignment="1">
      <alignment horizontal="center" vertical="center" wrapText="1"/>
    </xf>
    <xf numFmtId="166" fontId="11" fillId="9" borderId="0" xfId="0" applyNumberFormat="1" applyFont="1" applyFill="1" applyBorder="1" applyAlignment="1">
      <alignment vertical="center" wrapText="1"/>
    </xf>
    <xf numFmtId="166" fontId="11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vertical="center"/>
    </xf>
    <xf numFmtId="0" fontId="0" fillId="9" borderId="0" xfId="0" applyFill="1" applyAlignment="1">
      <alignment vertical="center"/>
    </xf>
    <xf numFmtId="9" fontId="13" fillId="10" borderId="0" xfId="0" applyNumberFormat="1" applyFont="1" applyFill="1" applyBorder="1" applyAlignment="1">
      <alignment horizontal="center" vertical="center" wrapText="1"/>
    </xf>
    <xf numFmtId="0" fontId="15" fillId="10" borderId="0" xfId="1" applyNumberFormat="1" applyFont="1" applyFill="1" applyBorder="1" applyAlignment="1">
      <alignment horizontal="center" vertical="center" wrapText="1"/>
    </xf>
    <xf numFmtId="0" fontId="0" fillId="10" borderId="0" xfId="0" applyNumberFormat="1" applyFill="1" applyBorder="1" applyAlignment="1">
      <alignment horizontal="center" vertical="center" wrapText="1"/>
    </xf>
    <xf numFmtId="0" fontId="0" fillId="9" borderId="0" xfId="0" applyNumberFormat="1" applyFill="1" applyBorder="1" applyAlignment="1">
      <alignment horizontal="center" vertical="center" wrapText="1"/>
    </xf>
    <xf numFmtId="9" fontId="0" fillId="10" borderId="0" xfId="0" applyNumberForma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26" fillId="9" borderId="0" xfId="0" applyFont="1" applyFill="1" applyAlignment="1">
      <alignment horizontal="center" vertical="center" wrapText="1"/>
    </xf>
    <xf numFmtId="0" fontId="28" fillId="11" borderId="0" xfId="0" applyFont="1" applyFill="1" applyAlignment="1">
      <alignment horizontal="center" vertical="center" wrapText="1"/>
    </xf>
    <xf numFmtId="0" fontId="29" fillId="2" borderId="1" xfId="0" applyFont="1" applyFill="1" applyBorder="1" applyAlignment="1">
      <alignment vertical="top" wrapText="1"/>
    </xf>
    <xf numFmtId="0" fontId="30" fillId="0" borderId="0" xfId="0" applyFont="1"/>
    <xf numFmtId="0" fontId="29" fillId="3" borderId="2" xfId="0" applyFont="1" applyFill="1" applyBorder="1" applyAlignment="1">
      <alignment vertical="top" wrapText="1"/>
    </xf>
    <xf numFmtId="0" fontId="29" fillId="2" borderId="3" xfId="0" applyFont="1" applyFill="1" applyBorder="1" applyAlignment="1">
      <alignment vertical="top" wrapText="1"/>
    </xf>
    <xf numFmtId="0" fontId="29" fillId="0" borderId="1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 wrapText="1"/>
    </xf>
    <xf numFmtId="0" fontId="29" fillId="0" borderId="0" xfId="0" applyFont="1" applyFill="1" applyBorder="1" applyAlignment="1">
      <alignment vertical="top" wrapText="1"/>
    </xf>
    <xf numFmtId="0" fontId="29" fillId="3" borderId="1" xfId="0" applyFont="1" applyFill="1" applyBorder="1" applyAlignment="1">
      <alignment vertical="top" wrapText="1"/>
    </xf>
    <xf numFmtId="0" fontId="29" fillId="2" borderId="9" xfId="0" applyFont="1" applyFill="1" applyBorder="1" applyAlignment="1">
      <alignment vertical="top" wrapText="1"/>
    </xf>
    <xf numFmtId="0" fontId="29" fillId="7" borderId="9" xfId="0" applyFont="1" applyFill="1" applyBorder="1" applyAlignment="1">
      <alignment vertical="top" wrapText="1"/>
    </xf>
    <xf numFmtId="0" fontId="29" fillId="7" borderId="1" xfId="0" applyFont="1" applyFill="1" applyBorder="1" applyAlignment="1">
      <alignment vertical="top" wrapText="1"/>
    </xf>
    <xf numFmtId="0" fontId="29" fillId="6" borderId="3" xfId="0" applyFont="1" applyFill="1" applyBorder="1" applyAlignment="1">
      <alignment vertical="top" wrapText="1"/>
    </xf>
    <xf numFmtId="0" fontId="29" fillId="0" borderId="3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top" wrapText="1"/>
    </xf>
    <xf numFmtId="9" fontId="30" fillId="5" borderId="4" xfId="0" applyNumberFormat="1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vertical="center" wrapText="1"/>
    </xf>
    <xf numFmtId="0" fontId="29" fillId="7" borderId="3" xfId="0" applyFont="1" applyFill="1" applyBorder="1" applyAlignment="1">
      <alignment vertical="top" wrapText="1"/>
    </xf>
    <xf numFmtId="0" fontId="30" fillId="5" borderId="2" xfId="0" applyFont="1" applyFill="1" applyBorder="1" applyAlignment="1">
      <alignment vertical="center" wrapText="1"/>
    </xf>
    <xf numFmtId="0" fontId="29" fillId="0" borderId="5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 wrapText="1"/>
    </xf>
    <xf numFmtId="0" fontId="22" fillId="9" borderId="0" xfId="0" applyFont="1" applyFill="1" applyAlignment="1">
      <alignment horizontal="center" vertical="center" wrapText="1"/>
    </xf>
    <xf numFmtId="0" fontId="22" fillId="9" borderId="0" xfId="0" applyFont="1" applyFill="1" applyAlignment="1">
      <alignment horizontal="left" vertical="center" wrapText="1"/>
    </xf>
    <xf numFmtId="0" fontId="11" fillId="9" borderId="0" xfId="0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9" fontId="0" fillId="9" borderId="0" xfId="0" applyNumberFormat="1" applyFill="1" applyBorder="1" applyAlignment="1">
      <alignment horizontal="center" vertical="center" wrapText="1"/>
    </xf>
    <xf numFmtId="0" fontId="29" fillId="0" borderId="9" xfId="0" applyFont="1" applyBorder="1" applyAlignment="1">
      <alignment vertical="top" wrapText="1"/>
    </xf>
    <xf numFmtId="0" fontId="29" fillId="6" borderId="9" xfId="0" applyFont="1" applyFill="1" applyBorder="1" applyAlignment="1">
      <alignment vertical="top" wrapText="1"/>
    </xf>
    <xf numFmtId="0" fontId="29" fillId="8" borderId="12" xfId="0" applyFont="1" applyFill="1" applyBorder="1" applyAlignment="1">
      <alignment vertical="top" wrapText="1"/>
    </xf>
    <xf numFmtId="0" fontId="29" fillId="8" borderId="3" xfId="0" applyFont="1" applyFill="1" applyBorder="1" applyAlignment="1">
      <alignment vertical="top" wrapText="1"/>
    </xf>
    <xf numFmtId="0" fontId="9" fillId="9" borderId="0" xfId="0" applyFont="1" applyFill="1" applyAlignment="1">
      <alignment vertical="center" wrapText="1"/>
    </xf>
    <xf numFmtId="0" fontId="8" fillId="9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0" fillId="9" borderId="0" xfId="0" applyFill="1" applyBorder="1" applyAlignment="1">
      <alignment vertical="center" wrapText="1"/>
    </xf>
    <xf numFmtId="0" fontId="0" fillId="9" borderId="0" xfId="0" applyNumberFormat="1" applyFill="1" applyAlignment="1">
      <alignment horizontal="center" vertical="center" wrapText="1"/>
    </xf>
    <xf numFmtId="9" fontId="0" fillId="9" borderId="0" xfId="0" applyNumberForma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9" fontId="25" fillId="9" borderId="0" xfId="0" applyNumberFormat="1" applyFont="1" applyFill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23" fillId="9" borderId="0" xfId="0" applyFont="1" applyFill="1" applyBorder="1" applyAlignment="1">
      <alignment horizontal="center" vertical="center" wrapText="1"/>
    </xf>
    <xf numFmtId="0" fontId="22" fillId="9" borderId="0" xfId="0" applyFont="1" applyFill="1" applyBorder="1" applyAlignment="1">
      <alignment horizontal="center" vertical="center" wrapText="1"/>
    </xf>
    <xf numFmtId="49" fontId="23" fillId="9" borderId="0" xfId="0" quotePrefix="1" applyNumberFormat="1" applyFont="1" applyFill="1" applyAlignment="1">
      <alignment horizontal="center" vertical="center" wrapText="1"/>
    </xf>
    <xf numFmtId="9" fontId="23" fillId="9" borderId="0" xfId="1" applyFont="1" applyFill="1" applyAlignment="1">
      <alignment horizontal="center" vertical="center" wrapText="1"/>
    </xf>
    <xf numFmtId="167" fontId="22" fillId="9" borderId="0" xfId="1" applyNumberFormat="1" applyFont="1" applyFill="1" applyAlignment="1">
      <alignment horizontal="center" vertical="center" wrapText="1"/>
    </xf>
    <xf numFmtId="167" fontId="22" fillId="9" borderId="0" xfId="0" applyNumberFormat="1" applyFont="1" applyFill="1" applyAlignment="1">
      <alignment horizontal="center" vertical="center" wrapText="1"/>
    </xf>
    <xf numFmtId="49" fontId="24" fillId="9" borderId="0" xfId="0" quotePrefix="1" applyNumberFormat="1" applyFont="1" applyFill="1" applyAlignment="1">
      <alignment horizontal="center" vertical="center" wrapText="1"/>
    </xf>
    <xf numFmtId="167" fontId="15" fillId="9" borderId="0" xfId="1" applyNumberFormat="1" applyFont="1" applyFill="1" applyAlignment="1">
      <alignment horizontal="center" vertical="center" wrapText="1"/>
    </xf>
    <xf numFmtId="167" fontId="0" fillId="9" borderId="0" xfId="0" applyNumberFormat="1" applyFill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9" fontId="15" fillId="9" borderId="0" xfId="1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29" fillId="0" borderId="9" xfId="0" applyFont="1" applyBorder="1" applyAlignment="1">
      <alignment vertical="top" wrapText="1"/>
    </xf>
    <xf numFmtId="0" fontId="29" fillId="6" borderId="9" xfId="0" applyFont="1" applyFill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29" fillId="3" borderId="4" xfId="0" applyFont="1" applyFill="1" applyBorder="1" applyAlignment="1">
      <alignment vertical="top" wrapText="1"/>
    </xf>
    <xf numFmtId="0" fontId="30" fillId="0" borderId="4" xfId="0" applyFont="1" applyBorder="1" applyAlignment="1">
      <alignment horizontal="left" vertical="top" wrapText="1"/>
    </xf>
    <xf numFmtId="0" fontId="30" fillId="0" borderId="5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29" fillId="8" borderId="12" xfId="0" applyFont="1" applyFill="1" applyBorder="1" applyAlignment="1">
      <alignment vertical="top" wrapText="1"/>
    </xf>
    <xf numFmtId="0" fontId="29" fillId="8" borderId="3" xfId="0" applyFont="1" applyFill="1" applyBorder="1" applyAlignment="1">
      <alignment vertical="top" wrapText="1"/>
    </xf>
    <xf numFmtId="0" fontId="29" fillId="0" borderId="9" xfId="0" applyFont="1" applyBorder="1" applyAlignment="1">
      <alignment vertical="top" wrapText="1"/>
    </xf>
    <xf numFmtId="0" fontId="30" fillId="0" borderId="11" xfId="0" applyFont="1" applyBorder="1" applyAlignment="1">
      <alignment horizontal="left" vertical="top" wrapText="1"/>
    </xf>
    <xf numFmtId="0" fontId="29" fillId="2" borderId="16" xfId="0" applyFont="1" applyFill="1" applyBorder="1" applyAlignment="1">
      <alignment vertical="top" wrapText="1"/>
    </xf>
    <xf numFmtId="0" fontId="29" fillId="2" borderId="19" xfId="0" applyFont="1" applyFill="1" applyBorder="1" applyAlignment="1">
      <alignment vertical="top" wrapText="1"/>
    </xf>
    <xf numFmtId="0" fontId="29" fillId="3" borderId="8" xfId="0" applyFont="1" applyFill="1" applyBorder="1" applyAlignment="1">
      <alignment vertical="top" wrapText="1"/>
    </xf>
    <xf numFmtId="0" fontId="29" fillId="7" borderId="12" xfId="0" applyFont="1" applyFill="1" applyBorder="1" applyAlignment="1">
      <alignment vertical="top" wrapText="1"/>
    </xf>
    <xf numFmtId="0" fontId="29" fillId="17" borderId="16" xfId="0" applyFont="1" applyFill="1" applyBorder="1" applyAlignment="1">
      <alignment vertical="top" wrapText="1"/>
    </xf>
    <xf numFmtId="0" fontId="29" fillId="0" borderId="3" xfId="0" applyFont="1" applyBorder="1" applyAlignment="1">
      <alignment horizontal="center" vertical="top" wrapText="1"/>
    </xf>
    <xf numFmtId="0" fontId="29" fillId="6" borderId="19" xfId="0" applyFont="1" applyFill="1" applyBorder="1" applyAlignment="1">
      <alignment vertical="top" wrapText="1"/>
    </xf>
    <xf numFmtId="168" fontId="29" fillId="0" borderId="19" xfId="4" applyNumberFormat="1" applyFont="1" applyBorder="1" applyAlignment="1">
      <alignment vertical="top" wrapText="1"/>
    </xf>
    <xf numFmtId="9" fontId="30" fillId="5" borderId="22" xfId="0" applyNumberFormat="1" applyFont="1" applyFill="1" applyBorder="1" applyAlignment="1">
      <alignment vertical="center" wrapText="1"/>
    </xf>
    <xf numFmtId="9" fontId="30" fillId="5" borderId="23" xfId="0" applyNumberFormat="1" applyFont="1" applyFill="1" applyBorder="1" applyAlignment="1">
      <alignment vertical="center" wrapText="1"/>
    </xf>
    <xf numFmtId="9" fontId="11" fillId="9" borderId="0" xfId="0" applyNumberFormat="1" applyFont="1" applyFill="1" applyBorder="1" applyAlignment="1">
      <alignment horizontal="center" vertical="center" wrapText="1"/>
    </xf>
    <xf numFmtId="9" fontId="30" fillId="5" borderId="24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1" xfId="0" applyFont="1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21" xfId="0" applyFont="1" applyBorder="1" applyAlignment="1">
      <alignment wrapText="1"/>
    </xf>
    <xf numFmtId="0" fontId="4" fillId="0" borderId="21" xfId="0" applyFont="1" applyBorder="1" applyAlignment="1">
      <alignment vertical="top"/>
    </xf>
    <xf numFmtId="0" fontId="29" fillId="0" borderId="9" xfId="0" applyFont="1" applyBorder="1" applyAlignment="1">
      <alignment vertical="top" wrapText="1"/>
    </xf>
    <xf numFmtId="0" fontId="29" fillId="3" borderId="4" xfId="0" applyFont="1" applyFill="1" applyBorder="1" applyAlignment="1">
      <alignment vertical="top" wrapText="1"/>
    </xf>
    <xf numFmtId="0" fontId="29" fillId="3" borderId="2" xfId="0" applyFont="1" applyFill="1" applyBorder="1" applyAlignment="1">
      <alignment vertical="top" wrapText="1"/>
    </xf>
    <xf numFmtId="0" fontId="30" fillId="5" borderId="5" xfId="0" applyFont="1" applyFill="1" applyBorder="1" applyAlignment="1">
      <alignment vertical="top" wrapText="1"/>
    </xf>
    <xf numFmtId="0" fontId="30" fillId="5" borderId="2" xfId="0" applyFont="1" applyFill="1" applyBorder="1" applyAlignment="1">
      <alignment vertical="top" wrapText="1"/>
    </xf>
    <xf numFmtId="0" fontId="34" fillId="0" borderId="0" xfId="0" applyFont="1" applyBorder="1" applyAlignment="1">
      <alignment horizontal="center" vertical="center"/>
    </xf>
    <xf numFmtId="0" fontId="0" fillId="0" borderId="0" xfId="0" applyBorder="1"/>
    <xf numFmtId="0" fontId="34" fillId="0" borderId="0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right" vertical="center"/>
    </xf>
    <xf numFmtId="0" fontId="4" fillId="0" borderId="0" xfId="0" applyFont="1" applyBorder="1"/>
    <xf numFmtId="0" fontId="36" fillId="0" borderId="0" xfId="0" applyFont="1"/>
    <xf numFmtId="0" fontId="38" fillId="9" borderId="25" xfId="0" applyFont="1" applyFill="1" applyBorder="1" applyAlignment="1">
      <alignment horizontal="left" vertical="top" wrapText="1"/>
    </xf>
    <xf numFmtId="0" fontId="38" fillId="9" borderId="26" xfId="0" applyFont="1" applyFill="1" applyBorder="1" applyAlignment="1">
      <alignment horizontal="left" vertical="top" wrapText="1"/>
    </xf>
    <xf numFmtId="0" fontId="38" fillId="9" borderId="27" xfId="0" applyFont="1" applyFill="1" applyBorder="1" applyAlignment="1">
      <alignment horizontal="left" vertical="top" wrapText="1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/>
    </xf>
    <xf numFmtId="0" fontId="39" fillId="24" borderId="0" xfId="0" applyFont="1" applyFill="1" applyBorder="1" applyAlignment="1">
      <alignment horizontal="left" vertical="top" wrapText="1"/>
    </xf>
    <xf numFmtId="0" fontId="0" fillId="9" borderId="0" xfId="0" applyFill="1" applyBorder="1" applyAlignment="1">
      <alignment horizontal="left"/>
    </xf>
    <xf numFmtId="0" fontId="42" fillId="9" borderId="0" xfId="0" applyFont="1" applyFill="1" applyBorder="1" applyAlignment="1">
      <alignment horizontal="center" vertical="center" wrapText="1"/>
    </xf>
    <xf numFmtId="0" fontId="42" fillId="9" borderId="0" xfId="0" applyFont="1" applyFill="1" applyBorder="1" applyAlignment="1">
      <alignment horizontal="left" vertical="center" wrapText="1"/>
    </xf>
    <xf numFmtId="0" fontId="0" fillId="15" borderId="21" xfId="0" applyFill="1" applyBorder="1"/>
    <xf numFmtId="170" fontId="0" fillId="9" borderId="0" xfId="0" applyNumberFormat="1" applyFill="1" applyBorder="1" applyAlignment="1"/>
    <xf numFmtId="0" fontId="44" fillId="9" borderId="0" xfId="0" applyFont="1" applyFill="1"/>
    <xf numFmtId="0" fontId="30" fillId="5" borderId="23" xfId="0" applyFont="1" applyFill="1" applyBorder="1" applyAlignment="1">
      <alignment vertical="top" wrapText="1"/>
    </xf>
    <xf numFmtId="0" fontId="30" fillId="5" borderId="22" xfId="0" applyFont="1" applyFill="1" applyBorder="1" applyAlignment="1">
      <alignment vertical="top" wrapText="1"/>
    </xf>
    <xf numFmtId="0" fontId="0" fillId="9" borderId="21" xfId="0" applyFill="1" applyBorder="1"/>
    <xf numFmtId="0" fontId="41" fillId="9" borderId="27" xfId="0" applyFont="1" applyFill="1" applyBorder="1" applyAlignment="1">
      <alignment horizontal="center" vertical="center" wrapText="1"/>
    </xf>
    <xf numFmtId="0" fontId="41" fillId="9" borderId="26" xfId="0" applyFont="1" applyFill="1" applyBorder="1" applyAlignment="1">
      <alignment horizontal="center" vertical="center" wrapText="1"/>
    </xf>
    <xf numFmtId="0" fontId="41" fillId="9" borderId="25" xfId="0" applyFont="1" applyFill="1" applyBorder="1" applyAlignment="1">
      <alignment horizontal="center" vertical="center" wrapText="1"/>
    </xf>
    <xf numFmtId="0" fontId="38" fillId="22" borderId="33" xfId="0" applyFont="1" applyFill="1" applyBorder="1" applyAlignment="1">
      <alignment vertical="top" wrapText="1"/>
    </xf>
    <xf numFmtId="0" fontId="0" fillId="0" borderId="21" xfId="0" applyBorder="1" applyAlignment="1"/>
    <xf numFmtId="0" fontId="0" fillId="9" borderId="27" xfId="0" applyFill="1" applyBorder="1" applyAlignment="1">
      <alignment horizontal="left"/>
    </xf>
    <xf numFmtId="0" fontId="0" fillId="9" borderId="26" xfId="0" applyFill="1" applyBorder="1" applyAlignment="1">
      <alignment horizontal="left"/>
    </xf>
    <xf numFmtId="0" fontId="0" fillId="9" borderId="25" xfId="0" applyFill="1" applyBorder="1" applyAlignment="1">
      <alignment horizontal="left"/>
    </xf>
    <xf numFmtId="0" fontId="32" fillId="12" borderId="21" xfId="0" applyFont="1" applyFill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/>
    </xf>
    <xf numFmtId="0" fontId="0" fillId="0" borderId="21" xfId="0" applyBorder="1" applyAlignment="1">
      <alignment vertical="top"/>
    </xf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0" borderId="0" xfId="0" applyFill="1"/>
    <xf numFmtId="0" fontId="4" fillId="0" borderId="0" xfId="0" applyFont="1"/>
    <xf numFmtId="16" fontId="0" fillId="0" borderId="0" xfId="0" applyNumberFormat="1"/>
    <xf numFmtId="16" fontId="4" fillId="0" borderId="0" xfId="0" applyNumberFormat="1" applyFont="1"/>
    <xf numFmtId="0" fontId="4" fillId="26" borderId="0" xfId="0" applyFont="1" applyFill="1"/>
    <xf numFmtId="0" fontId="4" fillId="25" borderId="0" xfId="0" applyFont="1" applyFill="1"/>
    <xf numFmtId="0" fontId="4" fillId="27" borderId="0" xfId="0" applyFont="1" applyFill="1"/>
    <xf numFmtId="0" fontId="4" fillId="28" borderId="0" xfId="0" applyFont="1" applyFill="1"/>
    <xf numFmtId="0" fontId="32" fillId="12" borderId="28" xfId="0" applyFont="1" applyFill="1" applyBorder="1" applyAlignment="1">
      <alignment horizontal="center" vertical="top" wrapText="1"/>
    </xf>
    <xf numFmtId="0" fontId="32" fillId="12" borderId="21" xfId="0" applyFont="1" applyFill="1" applyBorder="1" applyAlignment="1">
      <alignment horizontal="center" vertical="top"/>
    </xf>
    <xf numFmtId="0" fontId="0" fillId="0" borderId="0" xfId="0" applyFill="1" applyAlignment="1">
      <alignment wrapText="1"/>
    </xf>
    <xf numFmtId="0" fontId="0" fillId="0" borderId="2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9" borderId="0" xfId="0" applyFont="1" applyFill="1"/>
    <xf numFmtId="0" fontId="38" fillId="9" borderId="26" xfId="0" applyFont="1" applyFill="1" applyBorder="1" applyAlignment="1">
      <alignment horizontal="left" vertical="top" wrapText="1"/>
    </xf>
    <xf numFmtId="0" fontId="0" fillId="9" borderId="27" xfId="0" applyFill="1" applyBorder="1" applyAlignment="1">
      <alignment horizontal="left"/>
    </xf>
    <xf numFmtId="0" fontId="0" fillId="9" borderId="26" xfId="0" applyFill="1" applyBorder="1" applyAlignment="1">
      <alignment horizontal="left"/>
    </xf>
    <xf numFmtId="0" fontId="30" fillId="5" borderId="24" xfId="0" applyFont="1" applyFill="1" applyBorder="1" applyAlignment="1">
      <alignment horizontal="left" vertical="top" wrapText="1"/>
    </xf>
    <xf numFmtId="0" fontId="30" fillId="5" borderId="23" xfId="0" applyFont="1" applyFill="1" applyBorder="1" applyAlignment="1">
      <alignment horizontal="left" vertical="top" wrapText="1"/>
    </xf>
    <xf numFmtId="0" fontId="30" fillId="18" borderId="17" xfId="0" applyFont="1" applyFill="1" applyBorder="1" applyAlignment="1">
      <alignment vertical="top" wrapText="1"/>
    </xf>
    <xf numFmtId="0" fontId="30" fillId="18" borderId="18" xfId="0" applyFont="1" applyFill="1" applyBorder="1" applyAlignment="1">
      <alignment vertical="top" wrapText="1"/>
    </xf>
    <xf numFmtId="0" fontId="30" fillId="5" borderId="11" xfId="0" applyFont="1" applyFill="1" applyBorder="1" applyAlignment="1">
      <alignment vertical="top" wrapText="1"/>
    </xf>
    <xf numFmtId="0" fontId="30" fillId="5" borderId="4" xfId="0" applyFont="1" applyFill="1" applyBorder="1" applyAlignment="1">
      <alignment horizontal="left" vertical="top" wrapText="1"/>
    </xf>
    <xf numFmtId="0" fontId="30" fillId="5" borderId="5" xfId="0" applyFont="1" applyFill="1" applyBorder="1" applyAlignment="1">
      <alignment horizontal="left" vertical="top" wrapText="1"/>
    </xf>
    <xf numFmtId="0" fontId="30" fillId="5" borderId="2" xfId="0" applyFont="1" applyFill="1" applyBorder="1" applyAlignment="1">
      <alignment horizontal="left" vertical="top" wrapText="1"/>
    </xf>
    <xf numFmtId="0" fontId="30" fillId="5" borderId="3" xfId="0" applyFont="1" applyFill="1" applyBorder="1" applyAlignment="1">
      <alignment vertical="top" wrapText="1"/>
    </xf>
    <xf numFmtId="0" fontId="30" fillId="5" borderId="4" xfId="0" applyFont="1" applyFill="1" applyBorder="1" applyAlignment="1">
      <alignment vertical="top" wrapText="1"/>
    </xf>
    <xf numFmtId="0" fontId="30" fillId="5" borderId="5" xfId="0" applyFont="1" applyFill="1" applyBorder="1" applyAlignment="1">
      <alignment vertical="top" wrapText="1"/>
    </xf>
    <xf numFmtId="0" fontId="30" fillId="5" borderId="2" xfId="0" applyFont="1" applyFill="1" applyBorder="1" applyAlignment="1">
      <alignment vertical="top" wrapText="1"/>
    </xf>
    <xf numFmtId="0" fontId="30" fillId="5" borderId="4" xfId="0" applyFont="1" applyFill="1" applyBorder="1" applyAlignment="1">
      <alignment horizontal="left" vertical="top" wrapText="1"/>
    </xf>
    <xf numFmtId="0" fontId="30" fillId="5" borderId="5" xfId="0" applyFont="1" applyFill="1" applyBorder="1" applyAlignment="1">
      <alignment horizontal="left" vertical="top" wrapText="1"/>
    </xf>
    <xf numFmtId="0" fontId="30" fillId="5" borderId="2" xfId="0" applyFont="1" applyFill="1" applyBorder="1" applyAlignment="1">
      <alignment horizontal="left" vertical="top" wrapText="1"/>
    </xf>
    <xf numFmtId="0" fontId="30" fillId="5" borderId="4" xfId="0" applyFont="1" applyFill="1" applyBorder="1" applyAlignment="1">
      <alignment vertical="top" wrapText="1"/>
    </xf>
    <xf numFmtId="0" fontId="30" fillId="5" borderId="5" xfId="0" applyFont="1" applyFill="1" applyBorder="1" applyAlignment="1">
      <alignment vertical="top" wrapText="1"/>
    </xf>
    <xf numFmtId="0" fontId="30" fillId="5" borderId="2" xfId="0" applyFont="1" applyFill="1" applyBorder="1" applyAlignment="1">
      <alignment vertical="top" wrapText="1"/>
    </xf>
    <xf numFmtId="0" fontId="0" fillId="9" borderId="0" xfId="0" applyFill="1" applyAlignment="1">
      <alignment horizontal="center" vertical="center"/>
    </xf>
    <xf numFmtId="3" fontId="0" fillId="10" borderId="0" xfId="0" applyNumberForma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vertical="top" wrapText="1"/>
    </xf>
    <xf numFmtId="0" fontId="30" fillId="5" borderId="4" xfId="0" applyFont="1" applyFill="1" applyBorder="1" applyAlignment="1">
      <alignment horizontal="left" vertical="top" wrapText="1"/>
    </xf>
    <xf numFmtId="0" fontId="30" fillId="5" borderId="5" xfId="0" applyFont="1" applyFill="1" applyBorder="1" applyAlignment="1">
      <alignment horizontal="left" vertical="top" wrapText="1"/>
    </xf>
    <xf numFmtId="0" fontId="16" fillId="12" borderId="0" xfId="0" applyFont="1" applyFill="1" applyBorder="1" applyAlignment="1">
      <alignment vertical="center" wrapText="1"/>
    </xf>
    <xf numFmtId="0" fontId="0" fillId="10" borderId="0" xfId="0" applyFill="1" applyBorder="1" applyAlignment="1">
      <alignment horizontal="center" vertical="top" wrapText="1"/>
    </xf>
    <xf numFmtId="0" fontId="4" fillId="10" borderId="0" xfId="0" applyFont="1" applyFill="1" applyBorder="1" applyAlignment="1">
      <alignment horizontal="center" vertical="center" wrapText="1"/>
    </xf>
    <xf numFmtId="0" fontId="29" fillId="4" borderId="8" xfId="0" applyFont="1" applyFill="1" applyBorder="1" applyAlignment="1">
      <alignment horizontal="center" vertical="top" wrapText="1"/>
    </xf>
    <xf numFmtId="0" fontId="29" fillId="4" borderId="13" xfId="0" applyFont="1" applyFill="1" applyBorder="1" applyAlignment="1">
      <alignment horizontal="center" vertical="top" wrapText="1"/>
    </xf>
    <xf numFmtId="0" fontId="30" fillId="5" borderId="17" xfId="0" applyFont="1" applyFill="1" applyBorder="1" applyAlignment="1">
      <alignment vertical="top" wrapText="1"/>
    </xf>
    <xf numFmtId="0" fontId="30" fillId="5" borderId="18" xfId="0" applyFont="1" applyFill="1" applyBorder="1" applyAlignment="1">
      <alignment vertical="top" wrapText="1"/>
    </xf>
    <xf numFmtId="0" fontId="30" fillId="5" borderId="19" xfId="0" applyFont="1" applyFill="1" applyBorder="1" applyAlignment="1">
      <alignment vertical="top" wrapText="1"/>
    </xf>
    <xf numFmtId="0" fontId="0" fillId="9" borderId="0" xfId="0" applyFill="1" applyBorder="1" applyAlignment="1">
      <alignment horizontal="center" vertical="center" wrapText="1"/>
    </xf>
    <xf numFmtId="9" fontId="15" fillId="9" borderId="0" xfId="1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9" borderId="40" xfId="0" applyFill="1" applyBorder="1" applyAlignment="1">
      <alignment horizontal="center" vertical="center" wrapText="1"/>
    </xf>
    <xf numFmtId="9" fontId="0" fillId="10" borderId="40" xfId="0" applyNumberFormat="1" applyFill="1" applyBorder="1" applyAlignment="1">
      <alignment horizontal="center" vertical="center" wrapText="1"/>
    </xf>
    <xf numFmtId="9" fontId="0" fillId="9" borderId="40" xfId="0" applyNumberFormat="1" applyFill="1" applyBorder="1" applyAlignment="1">
      <alignment horizontal="center" vertical="center" wrapText="1"/>
    </xf>
    <xf numFmtId="0" fontId="10" fillId="9" borderId="0" xfId="0" applyFont="1" applyFill="1" applyAlignment="1">
      <alignment vertical="center" wrapText="1"/>
    </xf>
    <xf numFmtId="0" fontId="30" fillId="0" borderId="6" xfId="0" applyFont="1" applyBorder="1" applyAlignment="1">
      <alignment horizontal="center" vertical="top" wrapText="1"/>
    </xf>
    <xf numFmtId="0" fontId="29" fillId="4" borderId="9" xfId="0" applyNumberFormat="1" applyFont="1" applyFill="1" applyBorder="1" applyAlignment="1">
      <alignment horizontal="center" vertical="top" wrapText="1"/>
    </xf>
    <xf numFmtId="0" fontId="30" fillId="0" borderId="7" xfId="0" applyFont="1" applyBorder="1" applyAlignment="1">
      <alignment horizontal="center" vertical="top" wrapText="1"/>
    </xf>
    <xf numFmtId="0" fontId="30" fillId="0" borderId="8" xfId="0" applyNumberFormat="1" applyFont="1" applyBorder="1" applyAlignment="1">
      <alignment horizontal="center" vertical="top" wrapText="1"/>
    </xf>
    <xf numFmtId="0" fontId="33" fillId="0" borderId="0" xfId="0" applyFont="1" applyAlignment="1">
      <alignment horizontal="center"/>
    </xf>
    <xf numFmtId="0" fontId="33" fillId="0" borderId="0" xfId="0" applyNumberFormat="1" applyFont="1" applyAlignment="1">
      <alignment horizontal="center"/>
    </xf>
    <xf numFmtId="0" fontId="30" fillId="0" borderId="0" xfId="0" applyNumberFormat="1" applyFont="1" applyAlignment="1">
      <alignment horizontal="center"/>
    </xf>
    <xf numFmtId="0" fontId="29" fillId="2" borderId="3" xfId="0" applyFont="1" applyFill="1" applyBorder="1" applyAlignment="1">
      <alignment horizontal="center" vertical="top" wrapText="1"/>
    </xf>
    <xf numFmtId="0" fontId="29" fillId="4" borderId="3" xfId="0" applyNumberFormat="1" applyFont="1" applyFill="1" applyBorder="1" applyAlignment="1">
      <alignment horizontal="center" vertical="top" wrapText="1"/>
    </xf>
    <xf numFmtId="17" fontId="29" fillId="4" borderId="3" xfId="0" quotePrefix="1" applyNumberFormat="1" applyFont="1" applyFill="1" applyBorder="1" applyAlignment="1">
      <alignment horizontal="center" vertical="top" wrapText="1"/>
    </xf>
    <xf numFmtId="0" fontId="30" fillId="0" borderId="3" xfId="1" applyNumberFormat="1" applyFont="1" applyBorder="1" applyAlignment="1">
      <alignment horizontal="center" vertical="top" wrapText="1"/>
    </xf>
    <xf numFmtId="0" fontId="30" fillId="15" borderId="1" xfId="0" applyNumberFormat="1" applyFont="1" applyFill="1" applyBorder="1" applyAlignment="1">
      <alignment horizontal="center" vertical="top" wrapText="1"/>
    </xf>
    <xf numFmtId="0" fontId="30" fillId="0" borderId="1" xfId="1" applyNumberFormat="1" applyFont="1" applyFill="1" applyBorder="1" applyAlignment="1">
      <alignment horizontal="center" vertical="top" wrapText="1"/>
    </xf>
    <xf numFmtId="0" fontId="30" fillId="0" borderId="3" xfId="0" applyNumberFormat="1" applyFont="1" applyBorder="1" applyAlignment="1">
      <alignment horizontal="center" vertical="top" wrapText="1"/>
    </xf>
    <xf numFmtId="0" fontId="30" fillId="0" borderId="1" xfId="0" applyNumberFormat="1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horizontal="center" vertical="top" wrapText="1"/>
    </xf>
    <xf numFmtId="0" fontId="29" fillId="0" borderId="0" xfId="0" applyNumberFormat="1" applyFont="1" applyFill="1" applyBorder="1" applyAlignment="1">
      <alignment horizontal="center" vertical="top" wrapText="1"/>
    </xf>
    <xf numFmtId="0" fontId="29" fillId="2" borderId="9" xfId="0" applyFont="1" applyFill="1" applyBorder="1" applyAlignment="1">
      <alignment horizontal="center" vertical="top" wrapText="1"/>
    </xf>
    <xf numFmtId="0" fontId="29" fillId="4" borderId="1" xfId="0" applyNumberFormat="1" applyFont="1" applyFill="1" applyBorder="1" applyAlignment="1">
      <alignment horizontal="center" vertical="top" wrapText="1"/>
    </xf>
    <xf numFmtId="3" fontId="30" fillId="0" borderId="3" xfId="2" applyNumberFormat="1" applyFont="1" applyBorder="1" applyAlignment="1">
      <alignment horizontal="center" vertical="top" wrapText="1"/>
    </xf>
    <xf numFmtId="3" fontId="30" fillId="15" borderId="3" xfId="2" applyNumberFormat="1" applyFont="1" applyFill="1" applyBorder="1" applyAlignment="1">
      <alignment horizontal="center" vertical="top" wrapText="1"/>
    </xf>
    <xf numFmtId="3" fontId="30" fillId="0" borderId="1" xfId="1" applyNumberFormat="1" applyFont="1" applyFill="1" applyBorder="1" applyAlignment="1">
      <alignment horizontal="center" vertical="top" wrapText="1"/>
    </xf>
    <xf numFmtId="3" fontId="30" fillId="0" borderId="3" xfId="1" applyNumberFormat="1" applyFont="1" applyBorder="1" applyAlignment="1">
      <alignment horizontal="center" vertical="top" wrapText="1"/>
    </xf>
    <xf numFmtId="3" fontId="30" fillId="0" borderId="3" xfId="0" applyNumberFormat="1" applyFont="1" applyBorder="1" applyAlignment="1">
      <alignment horizontal="center" vertical="top" wrapText="1"/>
    </xf>
    <xf numFmtId="0" fontId="30" fillId="15" borderId="1" xfId="1" applyNumberFormat="1" applyFont="1" applyFill="1" applyBorder="1" applyAlignment="1">
      <alignment horizontal="center" vertical="top" wrapText="1"/>
    </xf>
    <xf numFmtId="3" fontId="30" fillId="0" borderId="1" xfId="0" applyNumberFormat="1" applyFont="1" applyFill="1" applyBorder="1" applyAlignment="1">
      <alignment horizontal="center" vertical="top" wrapText="1"/>
    </xf>
    <xf numFmtId="0" fontId="29" fillId="6" borderId="3" xfId="0" applyFont="1" applyFill="1" applyBorder="1" applyAlignment="1">
      <alignment horizontal="center" vertical="top" wrapText="1"/>
    </xf>
    <xf numFmtId="0" fontId="29" fillId="6" borderId="3" xfId="0" applyNumberFormat="1" applyFont="1" applyFill="1" applyBorder="1" applyAlignment="1">
      <alignment horizontal="center" vertical="top" wrapText="1"/>
    </xf>
    <xf numFmtId="0" fontId="29" fillId="0" borderId="3" xfId="0" applyNumberFormat="1" applyFont="1" applyBorder="1" applyAlignment="1">
      <alignment horizontal="center" vertical="top" wrapText="1"/>
    </xf>
    <xf numFmtId="0" fontId="29" fillId="6" borderId="1" xfId="0" applyFont="1" applyFill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16" borderId="9" xfId="0" applyFont="1" applyFill="1" applyBorder="1" applyAlignment="1">
      <alignment horizontal="center" vertical="top" wrapText="1"/>
    </xf>
    <xf numFmtId="17" fontId="29" fillId="4" borderId="9" xfId="0" applyNumberFormat="1" applyFont="1" applyFill="1" applyBorder="1" applyAlignment="1">
      <alignment horizontal="center" vertical="top" wrapText="1"/>
    </xf>
    <xf numFmtId="0" fontId="30" fillId="15" borderId="10" xfId="0" applyNumberFormat="1" applyFont="1" applyFill="1" applyBorder="1" applyAlignment="1">
      <alignment horizontal="center" vertical="top" wrapText="1"/>
    </xf>
    <xf numFmtId="3" fontId="30" fillId="0" borderId="3" xfId="0" applyNumberFormat="1" applyFont="1" applyBorder="1" applyAlignment="1">
      <alignment horizontal="center" vertical="center" wrapText="1"/>
    </xf>
    <xf numFmtId="0" fontId="30" fillId="9" borderId="3" xfId="0" applyNumberFormat="1" applyFont="1" applyFill="1" applyBorder="1" applyAlignment="1">
      <alignment horizontal="center" vertical="top" wrapText="1"/>
    </xf>
    <xf numFmtId="3" fontId="30" fillId="9" borderId="3" xfId="0" applyNumberFormat="1" applyFont="1" applyFill="1" applyBorder="1" applyAlignment="1">
      <alignment horizontal="center" vertical="top" wrapText="1"/>
    </xf>
    <xf numFmtId="0" fontId="29" fillId="8" borderId="14" xfId="0" applyFont="1" applyFill="1" applyBorder="1" applyAlignment="1">
      <alignment horizontal="center" vertical="top" wrapText="1"/>
    </xf>
    <xf numFmtId="0" fontId="29" fillId="8" borderId="15" xfId="0" applyFont="1" applyFill="1" applyBorder="1" applyAlignment="1">
      <alignment horizontal="center" vertical="top" wrapText="1"/>
    </xf>
    <xf numFmtId="0" fontId="29" fillId="8" borderId="7" xfId="0" applyFont="1" applyFill="1" applyBorder="1" applyAlignment="1">
      <alignment horizontal="center" vertical="top" wrapText="1"/>
    </xf>
    <xf numFmtId="0" fontId="29" fillId="8" borderId="10" xfId="0" applyFont="1" applyFill="1" applyBorder="1" applyAlignment="1">
      <alignment horizontal="center" vertical="top" wrapText="1"/>
    </xf>
    <xf numFmtId="0" fontId="30" fillId="0" borderId="1" xfId="0" applyNumberFormat="1" applyFont="1" applyBorder="1" applyAlignment="1">
      <alignment horizontal="center" vertical="top" wrapText="1"/>
    </xf>
    <xf numFmtId="0" fontId="30" fillId="0" borderId="12" xfId="0" applyNumberFormat="1" applyFont="1" applyBorder="1" applyAlignment="1">
      <alignment horizontal="center" vertical="top" wrapText="1"/>
    </xf>
    <xf numFmtId="0" fontId="30" fillId="6" borderId="10" xfId="0" applyNumberFormat="1" applyFont="1" applyFill="1" applyBorder="1" applyAlignment="1">
      <alignment horizontal="center" vertical="top" wrapText="1"/>
    </xf>
    <xf numFmtId="0" fontId="30" fillId="0" borderId="0" xfId="0" applyFont="1" applyAlignment="1">
      <alignment horizontal="center"/>
    </xf>
    <xf numFmtId="3" fontId="30" fillId="0" borderId="10" xfId="0" applyNumberFormat="1" applyFont="1" applyBorder="1" applyAlignment="1">
      <alignment horizontal="center" vertical="top" wrapText="1"/>
    </xf>
    <xf numFmtId="0" fontId="29" fillId="4" borderId="10" xfId="0" applyNumberFormat="1" applyFont="1" applyFill="1" applyBorder="1" applyAlignment="1">
      <alignment horizontal="center" vertical="top" wrapText="1"/>
    </xf>
    <xf numFmtId="0" fontId="30" fillId="6" borderId="1" xfId="0" applyNumberFormat="1" applyFont="1" applyFill="1" applyBorder="1" applyAlignment="1">
      <alignment horizontal="center" vertical="top" wrapText="1"/>
    </xf>
    <xf numFmtId="0" fontId="29" fillId="17" borderId="9" xfId="0" applyFont="1" applyFill="1" applyBorder="1" applyAlignment="1">
      <alignment horizontal="center" vertical="top" wrapText="1"/>
    </xf>
    <xf numFmtId="0" fontId="30" fillId="19" borderId="3" xfId="0" applyFont="1" applyFill="1" applyBorder="1" applyAlignment="1">
      <alignment horizontal="center" vertical="top" wrapText="1"/>
    </xf>
    <xf numFmtId="0" fontId="30" fillId="9" borderId="3" xfId="0" applyFont="1" applyFill="1" applyBorder="1" applyAlignment="1">
      <alignment horizontal="center" vertical="top" wrapText="1"/>
    </xf>
    <xf numFmtId="0" fontId="30" fillId="9" borderId="10" xfId="0" applyFont="1" applyFill="1" applyBorder="1" applyAlignment="1">
      <alignment horizontal="center" vertical="top" wrapText="1"/>
    </xf>
    <xf numFmtId="0" fontId="30" fillId="20" borderId="3" xfId="0" applyFont="1" applyFill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10" xfId="0" applyNumberFormat="1" applyFont="1" applyBorder="1" applyAlignment="1">
      <alignment horizontal="center" vertical="top" wrapText="1"/>
    </xf>
    <xf numFmtId="3" fontId="29" fillId="0" borderId="3" xfId="0" applyNumberFormat="1" applyFont="1" applyBorder="1" applyAlignment="1">
      <alignment horizontal="center" vertical="top" wrapText="1"/>
    </xf>
    <xf numFmtId="3" fontId="29" fillId="0" borderId="10" xfId="0" applyNumberFormat="1" applyFont="1" applyBorder="1" applyAlignment="1">
      <alignment horizontal="center" vertical="top" wrapText="1"/>
    </xf>
    <xf numFmtId="0" fontId="33" fillId="0" borderId="0" xfId="0" applyFont="1" applyAlignment="1"/>
    <xf numFmtId="168" fontId="29" fillId="0" borderId="3" xfId="3" applyNumberFormat="1" applyFont="1" applyBorder="1" applyAlignment="1">
      <alignment vertical="top" wrapText="1"/>
    </xf>
    <xf numFmtId="0" fontId="30" fillId="0" borderId="0" xfId="0" applyFont="1" applyAlignment="1"/>
    <xf numFmtId="3" fontId="0" fillId="9" borderId="0" xfId="0" applyNumberForma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left" vertical="top" wrapText="1"/>
    </xf>
    <xf numFmtId="0" fontId="30" fillId="0" borderId="5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0" fillId="0" borderId="8" xfId="0" applyFont="1" applyBorder="1" applyAlignment="1">
      <alignment horizontal="center" vertical="top" wrapText="1"/>
    </xf>
    <xf numFmtId="0" fontId="30" fillId="0" borderId="13" xfId="0" applyFont="1" applyBorder="1" applyAlignment="1">
      <alignment horizontal="center" vertical="top" wrapText="1"/>
    </xf>
    <xf numFmtId="0" fontId="29" fillId="0" borderId="8" xfId="0" applyFont="1" applyBorder="1" applyAlignment="1">
      <alignment vertical="top" wrapText="1"/>
    </xf>
    <xf numFmtId="0" fontId="29" fillId="0" borderId="13" xfId="0" applyFont="1" applyBorder="1" applyAlignment="1">
      <alignment vertical="top" wrapText="1"/>
    </xf>
    <xf numFmtId="0" fontId="29" fillId="0" borderId="9" xfId="0" applyFont="1" applyBorder="1" applyAlignment="1">
      <alignment vertical="top" wrapText="1"/>
    </xf>
    <xf numFmtId="0" fontId="29" fillId="8" borderId="4" xfId="0" applyFont="1" applyFill="1" applyBorder="1" applyAlignment="1">
      <alignment vertical="top" wrapText="1"/>
    </xf>
    <xf numFmtId="0" fontId="29" fillId="8" borderId="5" xfId="0" applyFont="1" applyFill="1" applyBorder="1" applyAlignment="1">
      <alignment vertical="top" wrapText="1"/>
    </xf>
    <xf numFmtId="0" fontId="29" fillId="8" borderId="2" xfId="0" applyFont="1" applyFill="1" applyBorder="1" applyAlignment="1">
      <alignment vertical="top" wrapText="1"/>
    </xf>
    <xf numFmtId="0" fontId="29" fillId="0" borderId="8" xfId="0" applyFont="1" applyFill="1" applyBorder="1" applyAlignment="1">
      <alignment horizontal="center" vertical="top" wrapText="1"/>
    </xf>
    <xf numFmtId="0" fontId="29" fillId="0" borderId="13" xfId="0" applyFont="1" applyFill="1" applyBorder="1" applyAlignment="1">
      <alignment horizontal="center" vertical="top" wrapText="1"/>
    </xf>
    <xf numFmtId="0" fontId="29" fillId="0" borderId="9" xfId="0" applyFont="1" applyFill="1" applyBorder="1" applyAlignment="1">
      <alignment horizontal="center" vertical="top" wrapText="1"/>
    </xf>
    <xf numFmtId="0" fontId="30" fillId="14" borderId="14" xfId="0" applyNumberFormat="1" applyFont="1" applyFill="1" applyBorder="1" applyAlignment="1">
      <alignment horizontal="center" vertical="top" wrapText="1"/>
    </xf>
    <xf numFmtId="0" fontId="30" fillId="14" borderId="15" xfId="0" applyNumberFormat="1" applyFont="1" applyFill="1" applyBorder="1" applyAlignment="1">
      <alignment horizontal="center" vertical="top" wrapText="1"/>
    </xf>
    <xf numFmtId="0" fontId="30" fillId="14" borderId="12" xfId="0" applyNumberFormat="1" applyFont="1" applyFill="1" applyBorder="1" applyAlignment="1">
      <alignment horizontal="center" vertical="top" wrapText="1"/>
    </xf>
    <xf numFmtId="0" fontId="30" fillId="14" borderId="7" xfId="0" applyNumberFormat="1" applyFont="1" applyFill="1" applyBorder="1" applyAlignment="1">
      <alignment horizontal="center" vertical="top" wrapText="1"/>
    </xf>
    <xf numFmtId="0" fontId="30" fillId="14" borderId="10" xfId="0" applyNumberFormat="1" applyFont="1" applyFill="1" applyBorder="1" applyAlignment="1">
      <alignment horizontal="center" vertical="top" wrapText="1"/>
    </xf>
    <xf numFmtId="0" fontId="30" fillId="14" borderId="3" xfId="0" applyNumberFormat="1" applyFont="1" applyFill="1" applyBorder="1" applyAlignment="1">
      <alignment horizontal="center" vertical="top" wrapText="1"/>
    </xf>
    <xf numFmtId="0" fontId="30" fillId="5" borderId="4" xfId="0" applyFont="1" applyFill="1" applyBorder="1" applyAlignment="1">
      <alignment vertical="top" wrapText="1"/>
    </xf>
    <xf numFmtId="0" fontId="30" fillId="5" borderId="5" xfId="0" applyFont="1" applyFill="1" applyBorder="1" applyAlignment="1">
      <alignment vertical="top" wrapText="1"/>
    </xf>
    <xf numFmtId="0" fontId="30" fillId="5" borderId="2" xfId="0" applyFont="1" applyFill="1" applyBorder="1" applyAlignment="1">
      <alignment vertical="top" wrapText="1"/>
    </xf>
    <xf numFmtId="0" fontId="29" fillId="4" borderId="8" xfId="0" applyFont="1" applyFill="1" applyBorder="1" applyAlignment="1">
      <alignment horizontal="center" vertical="top" wrapText="1"/>
    </xf>
    <xf numFmtId="0" fontId="29" fillId="4" borderId="13" xfId="0" applyFont="1" applyFill="1" applyBorder="1" applyAlignment="1">
      <alignment horizontal="center" vertical="top" wrapText="1"/>
    </xf>
    <xf numFmtId="0" fontId="29" fillId="4" borderId="9" xfId="0" applyFont="1" applyFill="1" applyBorder="1" applyAlignment="1">
      <alignment horizontal="center" vertical="top" wrapText="1"/>
    </xf>
    <xf numFmtId="0" fontId="29" fillId="3" borderId="4" xfId="0" applyFont="1" applyFill="1" applyBorder="1" applyAlignment="1">
      <alignment vertical="top" wrapText="1"/>
    </xf>
    <xf numFmtId="0" fontId="29" fillId="3" borderId="2" xfId="0" applyFont="1" applyFill="1" applyBorder="1" applyAlignment="1">
      <alignment vertical="top" wrapText="1"/>
    </xf>
    <xf numFmtId="0" fontId="30" fillId="0" borderId="9" xfId="0" applyFont="1" applyBorder="1" applyAlignment="1">
      <alignment horizontal="center" vertical="top" wrapText="1"/>
    </xf>
    <xf numFmtId="0" fontId="29" fillId="4" borderId="14" xfId="0" applyFont="1" applyFill="1" applyBorder="1" applyAlignment="1">
      <alignment horizontal="center" vertical="top" wrapText="1"/>
    </xf>
    <xf numFmtId="0" fontId="29" fillId="4" borderId="15" xfId="0" applyFont="1" applyFill="1" applyBorder="1" applyAlignment="1">
      <alignment horizontal="center" vertical="top" wrapText="1"/>
    </xf>
    <xf numFmtId="0" fontId="29" fillId="4" borderId="12" xfId="0" applyFont="1" applyFill="1" applyBorder="1" applyAlignment="1">
      <alignment horizontal="center" vertical="top" wrapText="1"/>
    </xf>
    <xf numFmtId="0" fontId="30" fillId="0" borderId="8" xfId="0" applyNumberFormat="1" applyFont="1" applyBorder="1" applyAlignment="1">
      <alignment horizontal="center" vertical="top" wrapText="1"/>
    </xf>
    <xf numFmtId="0" fontId="30" fillId="0" borderId="13" xfId="0" applyNumberFormat="1" applyFont="1" applyBorder="1" applyAlignment="1">
      <alignment horizontal="center" vertical="top" wrapText="1"/>
    </xf>
    <xf numFmtId="0" fontId="29" fillId="4" borderId="8" xfId="0" applyNumberFormat="1" applyFont="1" applyFill="1" applyBorder="1" applyAlignment="1">
      <alignment horizontal="center" vertical="top" wrapText="1"/>
    </xf>
    <xf numFmtId="0" fontId="29" fillId="4" borderId="13" xfId="0" applyNumberFormat="1" applyFont="1" applyFill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0" fillId="5" borderId="17" xfId="0" applyFont="1" applyFill="1" applyBorder="1" applyAlignment="1">
      <alignment vertical="top" wrapText="1"/>
    </xf>
    <xf numFmtId="0" fontId="30" fillId="5" borderId="18" xfId="0" applyFont="1" applyFill="1" applyBorder="1" applyAlignment="1">
      <alignment vertical="top" wrapText="1"/>
    </xf>
    <xf numFmtId="0" fontId="30" fillId="5" borderId="19" xfId="0" applyFont="1" applyFill="1" applyBorder="1" applyAlignment="1">
      <alignment vertical="top" wrapText="1"/>
    </xf>
    <xf numFmtId="0" fontId="30" fillId="0" borderId="31" xfId="0" applyFont="1" applyBorder="1" applyAlignment="1">
      <alignment horizontal="center" vertical="top" wrapText="1"/>
    </xf>
    <xf numFmtId="0" fontId="30" fillId="0" borderId="32" xfId="0" applyFont="1" applyBorder="1" applyAlignment="1">
      <alignment horizontal="center" vertical="top" wrapText="1"/>
    </xf>
    <xf numFmtId="0" fontId="29" fillId="21" borderId="8" xfId="0" applyFont="1" applyFill="1" applyBorder="1" applyAlignment="1">
      <alignment horizontal="center" vertical="top" wrapText="1"/>
    </xf>
    <xf numFmtId="0" fontId="29" fillId="21" borderId="13" xfId="0" applyFont="1" applyFill="1" applyBorder="1" applyAlignment="1">
      <alignment horizontal="center" vertical="top" wrapText="1"/>
    </xf>
    <xf numFmtId="0" fontId="29" fillId="3" borderId="6" xfId="0" applyFont="1" applyFill="1" applyBorder="1" applyAlignment="1">
      <alignment vertical="top" wrapText="1"/>
    </xf>
    <xf numFmtId="0" fontId="29" fillId="3" borderId="7" xfId="0" applyFont="1" applyFill="1" applyBorder="1" applyAlignment="1">
      <alignment vertical="top" wrapText="1"/>
    </xf>
    <xf numFmtId="0" fontId="30" fillId="5" borderId="4" xfId="0" applyFont="1" applyFill="1" applyBorder="1" applyAlignment="1">
      <alignment horizontal="left" vertical="top" wrapText="1"/>
    </xf>
    <xf numFmtId="0" fontId="30" fillId="5" borderId="5" xfId="0" applyFont="1" applyFill="1" applyBorder="1" applyAlignment="1">
      <alignment horizontal="left" vertical="top" wrapText="1"/>
    </xf>
    <xf numFmtId="0" fontId="30" fillId="5" borderId="2" xfId="0" applyFont="1" applyFill="1" applyBorder="1" applyAlignment="1">
      <alignment horizontal="left" vertical="top" wrapText="1"/>
    </xf>
    <xf numFmtId="0" fontId="29" fillId="4" borderId="20" xfId="0" applyFont="1" applyFill="1" applyBorder="1" applyAlignment="1">
      <alignment horizontal="center" vertical="top" wrapText="1"/>
    </xf>
    <xf numFmtId="0" fontId="29" fillId="0" borderId="20" xfId="0" applyFont="1" applyFill="1" applyBorder="1" applyAlignment="1">
      <alignment horizontal="center" vertical="top" wrapText="1"/>
    </xf>
    <xf numFmtId="0" fontId="30" fillId="0" borderId="4" xfId="0" applyFont="1" applyFill="1" applyBorder="1" applyAlignment="1">
      <alignment vertical="top" wrapText="1"/>
    </xf>
    <xf numFmtId="0" fontId="30" fillId="0" borderId="5" xfId="0" applyFont="1" applyFill="1" applyBorder="1" applyAlignment="1">
      <alignment vertical="top" wrapText="1"/>
    </xf>
    <xf numFmtId="0" fontId="30" fillId="0" borderId="2" xfId="0" applyFont="1" applyFill="1" applyBorder="1" applyAlignment="1">
      <alignment vertical="top" wrapText="1"/>
    </xf>
    <xf numFmtId="0" fontId="29" fillId="4" borderId="14" xfId="0" applyNumberFormat="1" applyFont="1" applyFill="1" applyBorder="1" applyAlignment="1">
      <alignment horizontal="center" vertical="top" wrapText="1"/>
    </xf>
    <xf numFmtId="0" fontId="29" fillId="4" borderId="15" xfId="0" applyNumberFormat="1" applyFont="1" applyFill="1" applyBorder="1" applyAlignment="1">
      <alignment horizontal="center" vertical="top" wrapText="1"/>
    </xf>
    <xf numFmtId="0" fontId="29" fillId="4" borderId="12" xfId="0" applyNumberFormat="1" applyFont="1" applyFill="1" applyBorder="1" applyAlignment="1">
      <alignment horizontal="center" vertical="top" wrapText="1"/>
    </xf>
    <xf numFmtId="0" fontId="30" fillId="0" borderId="7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0" fillId="9" borderId="0" xfId="0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0" fontId="21" fillId="9" borderId="0" xfId="0" applyFont="1" applyFill="1" applyAlignment="1">
      <alignment horizontal="center" wrapText="1"/>
    </xf>
    <xf numFmtId="0" fontId="0" fillId="10" borderId="0" xfId="0" applyFill="1" applyBorder="1" applyAlignment="1">
      <alignment horizontal="center" vertical="center" wrapText="1"/>
    </xf>
    <xf numFmtId="0" fontId="16" fillId="12" borderId="0" xfId="0" applyFont="1" applyFill="1" applyBorder="1" applyAlignment="1">
      <alignment horizontal="center" vertical="center" wrapText="1"/>
    </xf>
    <xf numFmtId="9" fontId="0" fillId="10" borderId="42" xfId="0" applyNumberFormat="1" applyFill="1" applyBorder="1" applyAlignment="1">
      <alignment horizontal="center" vertical="center" wrapText="1"/>
    </xf>
    <xf numFmtId="0" fontId="20" fillId="11" borderId="0" xfId="0" applyFont="1" applyFill="1" applyAlignment="1">
      <alignment horizontal="center" vertical="center"/>
    </xf>
    <xf numFmtId="9" fontId="0" fillId="10" borderId="40" xfId="0" applyNumberFormat="1" applyFill="1" applyBorder="1" applyAlignment="1">
      <alignment horizontal="center" vertical="center" wrapText="1"/>
    </xf>
    <xf numFmtId="9" fontId="0" fillId="10" borderId="0" xfId="0" applyNumberFormat="1" applyFill="1" applyBorder="1" applyAlignment="1">
      <alignment horizontal="center" vertical="center" wrapText="1"/>
    </xf>
    <xf numFmtId="0" fontId="0" fillId="10" borderId="41" xfId="0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 wrapText="1"/>
    </xf>
    <xf numFmtId="0" fontId="16" fillId="13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9" fontId="15" fillId="9" borderId="0" xfId="1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16" fillId="13" borderId="0" xfId="0" applyFont="1" applyFill="1" applyAlignment="1">
      <alignment horizontal="center" vertical="center" wrapText="1"/>
    </xf>
    <xf numFmtId="0" fontId="32" fillId="12" borderId="35" xfId="0" applyFont="1" applyFill="1" applyBorder="1" applyAlignment="1">
      <alignment horizontal="center" vertical="center" wrapText="1"/>
    </xf>
    <xf numFmtId="0" fontId="32" fillId="12" borderId="36" xfId="0" applyFont="1" applyFill="1" applyBorder="1" applyAlignment="1">
      <alignment horizontal="center" vertical="center" wrapText="1"/>
    </xf>
    <xf numFmtId="0" fontId="32" fillId="12" borderId="30" xfId="0" applyFont="1" applyFill="1" applyBorder="1" applyAlignment="1">
      <alignment horizontal="center" vertical="center" wrapText="1"/>
    </xf>
    <xf numFmtId="0" fontId="32" fillId="12" borderId="28" xfId="0" applyFont="1" applyFill="1" applyBorder="1" applyAlignment="1">
      <alignment horizontal="center" vertical="center" wrapText="1"/>
    </xf>
    <xf numFmtId="0" fontId="32" fillId="12" borderId="33" xfId="0" applyFont="1" applyFill="1" applyBorder="1" applyAlignment="1">
      <alignment horizontal="center" vertical="center" wrapText="1"/>
    </xf>
    <xf numFmtId="0" fontId="32" fillId="12" borderId="3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32" fillId="12" borderId="33" xfId="0" applyFont="1" applyFill="1" applyBorder="1" applyAlignment="1">
      <alignment horizontal="center" vertical="top" wrapText="1"/>
    </xf>
    <xf numFmtId="0" fontId="32" fillId="12" borderId="34" xfId="0" applyFont="1" applyFill="1" applyBorder="1" applyAlignment="1">
      <alignment horizontal="center" vertical="top" wrapText="1"/>
    </xf>
    <xf numFmtId="0" fontId="32" fillId="12" borderId="35" xfId="0" applyFont="1" applyFill="1" applyBorder="1" applyAlignment="1">
      <alignment horizontal="center" vertical="top" wrapText="1"/>
    </xf>
    <xf numFmtId="0" fontId="32" fillId="12" borderId="38" xfId="0" applyFont="1" applyFill="1" applyBorder="1" applyAlignment="1">
      <alignment horizontal="center" vertical="top" wrapText="1"/>
    </xf>
    <xf numFmtId="0" fontId="32" fillId="12" borderId="39" xfId="0" applyFont="1" applyFill="1" applyBorder="1" applyAlignment="1">
      <alignment horizontal="center" vertical="top" wrapText="1"/>
    </xf>
    <xf numFmtId="0" fontId="0" fillId="0" borderId="21" xfId="0" applyBorder="1" applyAlignment="1">
      <alignment horizontal="left"/>
    </xf>
    <xf numFmtId="0" fontId="38" fillId="9" borderId="21" xfId="0" applyFont="1" applyFill="1" applyBorder="1" applyAlignment="1">
      <alignment horizontal="left" vertical="top" wrapText="1"/>
    </xf>
    <xf numFmtId="0" fontId="0" fillId="0" borderId="27" xfId="0" applyBorder="1" applyAlignment="1">
      <alignment horizontal="left"/>
    </xf>
    <xf numFmtId="0" fontId="0" fillId="0" borderId="25" xfId="0" applyBorder="1" applyAlignment="1">
      <alignment horizontal="left"/>
    </xf>
    <xf numFmtId="0" fontId="38" fillId="9" borderId="27" xfId="0" applyFont="1" applyFill="1" applyBorder="1" applyAlignment="1">
      <alignment horizontal="left" vertical="top" wrapText="1"/>
    </xf>
    <xf numFmtId="0" fontId="38" fillId="9" borderId="26" xfId="0" applyFont="1" applyFill="1" applyBorder="1" applyAlignment="1">
      <alignment horizontal="left" vertical="top" wrapText="1"/>
    </xf>
    <xf numFmtId="0" fontId="38" fillId="9" borderId="25" xfId="0" applyFont="1" applyFill="1" applyBorder="1" applyAlignment="1">
      <alignment horizontal="left" vertical="top" wrapText="1"/>
    </xf>
    <xf numFmtId="0" fontId="0" fillId="0" borderId="26" xfId="0" applyBorder="1" applyAlignment="1">
      <alignment horizontal="left"/>
    </xf>
    <xf numFmtId="0" fontId="39" fillId="23" borderId="21" xfId="0" applyFont="1" applyFill="1" applyBorder="1" applyAlignment="1">
      <alignment horizontal="left" vertical="center" wrapText="1"/>
    </xf>
    <xf numFmtId="0" fontId="38" fillId="22" borderId="21" xfId="0" applyFont="1" applyFill="1" applyBorder="1" applyAlignment="1">
      <alignment horizontal="left" vertical="top" wrapText="1"/>
    </xf>
    <xf numFmtId="0" fontId="0" fillId="9" borderId="27" xfId="0" applyFill="1" applyBorder="1" applyAlignment="1">
      <alignment horizontal="left"/>
    </xf>
    <xf numFmtId="0" fontId="0" fillId="9" borderId="26" xfId="0" applyFill="1" applyBorder="1" applyAlignment="1">
      <alignment horizontal="left"/>
    </xf>
    <xf numFmtId="0" fontId="0" fillId="9" borderId="25" xfId="0" applyFill="1" applyBorder="1" applyAlignment="1">
      <alignment horizontal="left"/>
    </xf>
    <xf numFmtId="0" fontId="38" fillId="22" borderId="33" xfId="0" applyFont="1" applyFill="1" applyBorder="1" applyAlignment="1">
      <alignment horizontal="left" vertical="top" wrapText="1"/>
    </xf>
    <xf numFmtId="0" fontId="38" fillId="22" borderId="35" xfId="0" applyFont="1" applyFill="1" applyBorder="1" applyAlignment="1">
      <alignment horizontal="left" vertical="top" wrapText="1"/>
    </xf>
    <xf numFmtId="0" fontId="38" fillId="22" borderId="34" xfId="0" applyFont="1" applyFill="1" applyBorder="1" applyAlignment="1">
      <alignment horizontal="left" vertical="top" wrapText="1"/>
    </xf>
    <xf numFmtId="0" fontId="39" fillId="23" borderId="27" xfId="0" applyFont="1" applyFill="1" applyBorder="1" applyAlignment="1">
      <alignment horizontal="left" vertical="center" wrapText="1"/>
    </xf>
    <xf numFmtId="0" fontId="39" fillId="23" borderId="26" xfId="0" applyFont="1" applyFill="1" applyBorder="1" applyAlignment="1">
      <alignment horizontal="left" vertical="center" wrapText="1"/>
    </xf>
    <xf numFmtId="0" fontId="39" fillId="23" borderId="25" xfId="0" applyFont="1" applyFill="1" applyBorder="1" applyAlignment="1">
      <alignment horizontal="left" vertical="center" wrapText="1"/>
    </xf>
    <xf numFmtId="0" fontId="41" fillId="9" borderId="27" xfId="0" applyFont="1" applyFill="1" applyBorder="1" applyAlignment="1">
      <alignment horizontal="center" vertical="center" wrapText="1"/>
    </xf>
    <xf numFmtId="0" fontId="41" fillId="9" borderId="26" xfId="0" applyFont="1" applyFill="1" applyBorder="1" applyAlignment="1">
      <alignment horizontal="center" vertical="center" wrapText="1"/>
    </xf>
    <xf numFmtId="0" fontId="41" fillId="9" borderId="25" xfId="0" applyFont="1" applyFill="1" applyBorder="1" applyAlignment="1">
      <alignment horizontal="center" vertical="center" wrapText="1"/>
    </xf>
    <xf numFmtId="0" fontId="41" fillId="15" borderId="27" xfId="0" applyFont="1" applyFill="1" applyBorder="1" applyAlignment="1">
      <alignment horizontal="left" vertical="center" wrapText="1"/>
    </xf>
    <xf numFmtId="0" fontId="41" fillId="15" borderId="26" xfId="0" applyFont="1" applyFill="1" applyBorder="1" applyAlignment="1">
      <alignment horizontal="left" vertical="center" wrapText="1"/>
    </xf>
    <xf numFmtId="0" fontId="41" fillId="15" borderId="25" xfId="0" applyFont="1" applyFill="1" applyBorder="1" applyAlignment="1">
      <alignment horizontal="left" vertical="center" wrapText="1"/>
    </xf>
    <xf numFmtId="0" fontId="41" fillId="22" borderId="21" xfId="0" applyFont="1" applyFill="1" applyBorder="1" applyAlignment="1">
      <alignment horizontal="center" vertical="center" wrapText="1"/>
    </xf>
    <xf numFmtId="0" fontId="42" fillId="15" borderId="21" xfId="0" applyFont="1" applyFill="1" applyBorder="1" applyAlignment="1">
      <alignment horizontal="left" vertical="center" wrapText="1"/>
    </xf>
    <xf numFmtId="0" fontId="42" fillId="0" borderId="21" xfId="0" applyFont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0" fontId="43" fillId="24" borderId="21" xfId="0" applyFont="1" applyFill="1" applyBorder="1" applyAlignment="1">
      <alignment horizontal="left" vertical="top" wrapText="1"/>
    </xf>
    <xf numFmtId="0" fontId="39" fillId="24" borderId="21" xfId="0" applyFont="1" applyFill="1" applyBorder="1" applyAlignment="1">
      <alignment horizontal="left" vertical="top" wrapText="1"/>
    </xf>
    <xf numFmtId="0" fontId="39" fillId="23" borderId="27" xfId="0" applyFont="1" applyFill="1" applyBorder="1" applyAlignment="1">
      <alignment horizontal="center" vertical="center" wrapText="1"/>
    </xf>
    <xf numFmtId="0" fontId="39" fillId="23" borderId="26" xfId="0" applyFont="1" applyFill="1" applyBorder="1" applyAlignment="1">
      <alignment horizontal="center" vertical="center" wrapText="1"/>
    </xf>
    <xf numFmtId="0" fontId="39" fillId="23" borderId="25" xfId="0" applyFont="1" applyFill="1" applyBorder="1" applyAlignment="1">
      <alignment horizontal="center" vertical="center" wrapText="1"/>
    </xf>
    <xf numFmtId="0" fontId="41" fillId="22" borderId="30" xfId="0" applyFont="1" applyFill="1" applyBorder="1" applyAlignment="1">
      <alignment horizontal="center" vertical="center" wrapText="1"/>
    </xf>
    <xf numFmtId="0" fontId="41" fillId="22" borderId="29" xfId="0" applyFont="1" applyFill="1" applyBorder="1" applyAlignment="1">
      <alignment horizontal="center" vertical="center" wrapText="1"/>
    </xf>
    <xf numFmtId="0" fontId="41" fillId="22" borderId="28" xfId="0" applyFont="1" applyFill="1" applyBorder="1" applyAlignment="1">
      <alignment horizontal="center" vertical="center" wrapText="1"/>
    </xf>
    <xf numFmtId="0" fontId="47" fillId="15" borderId="27" xfId="0" applyFont="1" applyFill="1" applyBorder="1" applyAlignment="1">
      <alignment horizontal="left" vertical="center" wrapText="1"/>
    </xf>
    <xf numFmtId="0" fontId="47" fillId="15" borderId="26" xfId="0" applyFont="1" applyFill="1" applyBorder="1" applyAlignment="1">
      <alignment horizontal="left" vertical="center" wrapText="1"/>
    </xf>
    <xf numFmtId="0" fontId="47" fillId="15" borderId="25" xfId="0" applyFont="1" applyFill="1" applyBorder="1" applyAlignment="1">
      <alignment horizontal="left" vertical="center" wrapText="1"/>
    </xf>
    <xf numFmtId="0" fontId="39" fillId="23" borderId="21" xfId="0" applyFont="1" applyFill="1" applyBorder="1" applyAlignment="1">
      <alignment horizontal="center" vertical="center" wrapText="1"/>
    </xf>
    <xf numFmtId="0" fontId="41" fillId="15" borderId="27" xfId="0" applyFont="1" applyFill="1" applyBorder="1" applyAlignment="1">
      <alignment horizontal="left" vertical="top" wrapText="1"/>
    </xf>
    <xf numFmtId="0" fontId="41" fillId="15" borderId="26" xfId="0" applyFont="1" applyFill="1" applyBorder="1" applyAlignment="1">
      <alignment horizontal="left" vertical="top" wrapText="1"/>
    </xf>
    <xf numFmtId="0" fontId="41" fillId="15" borderId="25" xfId="0" applyFont="1" applyFill="1" applyBorder="1" applyAlignment="1">
      <alignment horizontal="left" vertical="top" wrapText="1"/>
    </xf>
    <xf numFmtId="0" fontId="42" fillId="15" borderId="21" xfId="0" applyFont="1" applyFill="1" applyBorder="1" applyAlignment="1">
      <alignment horizontal="center" vertical="center" wrapText="1"/>
    </xf>
    <xf numFmtId="0" fontId="42" fillId="9" borderId="27" xfId="0" applyFont="1" applyFill="1" applyBorder="1" applyAlignment="1">
      <alignment horizontal="left" vertical="center" wrapText="1"/>
    </xf>
    <xf numFmtId="0" fontId="42" fillId="9" borderId="26" xfId="0" applyFont="1" applyFill="1" applyBorder="1" applyAlignment="1">
      <alignment horizontal="left" vertical="center" wrapText="1"/>
    </xf>
    <xf numFmtId="0" fontId="42" fillId="9" borderId="25" xfId="0" applyFont="1" applyFill="1" applyBorder="1" applyAlignment="1">
      <alignment horizontal="left" vertical="center" wrapText="1"/>
    </xf>
    <xf numFmtId="0" fontId="37" fillId="23" borderId="21" xfId="0" applyFont="1" applyFill="1" applyBorder="1" applyAlignment="1">
      <alignment horizontal="center"/>
    </xf>
    <xf numFmtId="0" fontId="37" fillId="23" borderId="27" xfId="0" applyFont="1" applyFill="1" applyBorder="1" applyAlignment="1">
      <alignment horizontal="center"/>
    </xf>
    <xf numFmtId="170" fontId="0" fillId="9" borderId="21" xfId="0" applyNumberFormat="1" applyFill="1" applyBorder="1" applyAlignment="1">
      <alignment horizontal="center"/>
    </xf>
    <xf numFmtId="0" fontId="41" fillId="22" borderId="21" xfId="0" applyFont="1" applyFill="1" applyBorder="1" applyAlignment="1">
      <alignment horizontal="left" vertical="center" wrapText="1"/>
    </xf>
    <xf numFmtId="0" fontId="42" fillId="0" borderId="0" xfId="0" applyFont="1" applyBorder="1" applyAlignment="1">
      <alignment horizontal="center" vertical="center" wrapText="1"/>
    </xf>
    <xf numFmtId="0" fontId="38" fillId="22" borderId="27" xfId="0" applyFont="1" applyFill="1" applyBorder="1" applyAlignment="1">
      <alignment horizontal="left" vertical="top" wrapText="1"/>
    </xf>
    <xf numFmtId="0" fontId="38" fillId="22" borderId="26" xfId="0" applyFont="1" applyFill="1" applyBorder="1" applyAlignment="1">
      <alignment horizontal="left" vertical="top" wrapText="1"/>
    </xf>
    <xf numFmtId="0" fontId="38" fillId="22" borderId="25" xfId="0" applyFont="1" applyFill="1" applyBorder="1" applyAlignment="1">
      <alignment horizontal="left" vertical="top" wrapText="1"/>
    </xf>
    <xf numFmtId="0" fontId="0" fillId="9" borderId="0" xfId="0" applyFill="1" applyBorder="1" applyAlignment="1">
      <alignment horizontal="center" vertical="center"/>
    </xf>
    <xf numFmtId="0" fontId="38" fillId="22" borderId="27" xfId="0" applyFont="1" applyFill="1" applyBorder="1" applyAlignment="1">
      <alignment horizontal="left" wrapText="1"/>
    </xf>
    <xf numFmtId="0" fontId="38" fillId="22" borderId="26" xfId="0" applyFont="1" applyFill="1" applyBorder="1" applyAlignment="1">
      <alignment horizontal="left" wrapText="1"/>
    </xf>
    <xf numFmtId="0" fontId="38" fillId="22" borderId="25" xfId="0" applyFont="1" applyFill="1" applyBorder="1" applyAlignment="1">
      <alignment horizontal="left" wrapText="1"/>
    </xf>
    <xf numFmtId="0" fontId="38" fillId="22" borderId="21" xfId="0" applyFont="1" applyFill="1" applyBorder="1" applyAlignment="1">
      <alignment horizontal="left" wrapText="1"/>
    </xf>
    <xf numFmtId="0" fontId="0" fillId="9" borderId="0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34" fillId="0" borderId="0" xfId="0" applyFont="1" applyBorder="1" applyAlignment="1">
      <alignment vertical="center"/>
    </xf>
    <xf numFmtId="0" fontId="35" fillId="0" borderId="0" xfId="0" applyFont="1" applyBorder="1" applyAlignment="1">
      <alignment vertical="center"/>
    </xf>
  </cellXfs>
  <cellStyles count="21">
    <cellStyle name="Comma" xfId="2" builtinId="3"/>
    <cellStyle name="Comma 2" xfId="6"/>
    <cellStyle name="Currency" xfId="3" builtinId="4"/>
    <cellStyle name="Currency 2" xfId="4"/>
    <cellStyle name="Currency 2 2" xfId="10"/>
    <cellStyle name="Currency 2 2 2" xfId="20"/>
    <cellStyle name="Currency 2 2 3" xfId="15"/>
    <cellStyle name="Currency 2 3" xfId="8"/>
    <cellStyle name="Currency 2 3 2" xfId="18"/>
    <cellStyle name="Currency 2 3 3" xfId="13"/>
    <cellStyle name="Currency 2 4" xfId="17"/>
    <cellStyle name="Currency 2 5" xfId="12"/>
    <cellStyle name="Currency 3" xfId="9"/>
    <cellStyle name="Currency 3 2" xfId="19"/>
    <cellStyle name="Currency 3 3" xfId="14"/>
    <cellStyle name="Currency 4" xfId="7"/>
    <cellStyle name="Currency 5" xfId="16"/>
    <cellStyle name="Currency 6" xfId="11"/>
    <cellStyle name="Normal" xfId="0" builtinId="0"/>
    <cellStyle name="Normal 2" xfId="5"/>
    <cellStyle name="Percent" xfId="1" builtinId="5"/>
  </cellStyles>
  <dxfs count="68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0.39994506668294322"/>
        </patternFill>
      </fill>
    </dxf>
    <dxf>
      <fill>
        <patternFill>
          <bgColor rgb="FF99FF6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499984740745262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-0.24994659260841701"/>
        </patternFill>
      </fill>
    </dxf>
    <dxf>
      <fill>
        <patternFill>
          <bgColor rgb="FFCCFF99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0.39994506668294322"/>
        </patternFill>
      </fill>
    </dxf>
    <dxf>
      <fill>
        <patternFill>
          <bgColor rgb="FF99FF6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6" tint="-0.499984740745262"/>
        </patternFill>
      </fill>
    </dxf>
  </dxfs>
  <tableStyles count="0" defaultTableStyle="TableStyleMedium2" defaultPivotStyle="PivotStyleLight16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5</xdr:row>
      <xdr:rowOff>76200</xdr:rowOff>
    </xdr:from>
    <xdr:to>
      <xdr:col>4</xdr:col>
      <xdr:colOff>409575</xdr:colOff>
      <xdr:row>6</xdr:row>
      <xdr:rowOff>47625</xdr:rowOff>
    </xdr:to>
    <xdr:sp macro="" textlink="">
      <xdr:nvSpPr>
        <xdr:cNvPr id="1115" name="AutoShape 1"/>
        <xdr:cNvSpPr>
          <a:spLocks noChangeArrowheads="1"/>
        </xdr:cNvSpPr>
      </xdr:nvSpPr>
      <xdr:spPr bwMode="auto">
        <a:xfrm>
          <a:off x="3943350" y="1657350"/>
          <a:ext cx="342900" cy="533400"/>
        </a:xfrm>
        <a:prstGeom prst="rightArrow">
          <a:avLst>
            <a:gd name="adj1" fmla="val 50000"/>
            <a:gd name="adj2" fmla="val 23611"/>
          </a:avLst>
        </a:prstGeom>
        <a:solidFill>
          <a:srgbClr val="376092"/>
        </a:solidFill>
        <a:ln w="9525">
          <a:solidFill>
            <a:srgbClr xmlns:mc="http://schemas.openxmlformats.org/markup-compatibility/2006" xmlns:a14="http://schemas.microsoft.com/office/drawing/2010/main" val="333399" mc:Ignorable="a14" a14:legacySpreadsheetColorIndex="62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95250</xdr:colOff>
      <xdr:row>5</xdr:row>
      <xdr:rowOff>76200</xdr:rowOff>
    </xdr:from>
    <xdr:to>
      <xdr:col>6</xdr:col>
      <xdr:colOff>438150</xdr:colOff>
      <xdr:row>6</xdr:row>
      <xdr:rowOff>47625</xdr:rowOff>
    </xdr:to>
    <xdr:sp macro="" textlink="">
      <xdr:nvSpPr>
        <xdr:cNvPr id="1116" name="AutoShape 2"/>
        <xdr:cNvSpPr>
          <a:spLocks noChangeArrowheads="1"/>
        </xdr:cNvSpPr>
      </xdr:nvSpPr>
      <xdr:spPr bwMode="auto">
        <a:xfrm>
          <a:off x="5772150" y="1657350"/>
          <a:ext cx="342900" cy="533400"/>
        </a:xfrm>
        <a:prstGeom prst="rightArrow">
          <a:avLst>
            <a:gd name="adj1" fmla="val 50000"/>
            <a:gd name="adj2" fmla="val 23611"/>
          </a:avLst>
        </a:prstGeom>
        <a:solidFill>
          <a:srgbClr val="376092"/>
        </a:solidFill>
        <a:ln w="9525">
          <a:solidFill>
            <a:srgbClr xmlns:mc="http://schemas.openxmlformats.org/markup-compatibility/2006" xmlns:a14="http://schemas.microsoft.com/office/drawing/2010/main" val="333399" mc:Ignorable="a14" a14:legacySpreadsheetColorIndex="62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80000" mc:Ignorable="a14" a14:legacySpreadsheetColorIndex="8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80000" mc:Ignorable="a14" a14:legacySpreadsheetColorIndex="8"/>
        </a:solidFill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G261"/>
  <sheetViews>
    <sheetView tabSelected="1" zoomScale="70" zoomScaleNormal="70" workbookViewId="0">
      <selection activeCell="A114" sqref="A114:XFD261"/>
    </sheetView>
  </sheetViews>
  <sheetFormatPr defaultRowHeight="14.25" x14ac:dyDescent="0.2"/>
  <cols>
    <col min="1" max="1" width="30.7109375" style="35" customWidth="1"/>
    <col min="2" max="2" width="42.5703125" style="285" customWidth="1"/>
    <col min="3" max="3" width="27.28515625" style="269" customWidth="1"/>
    <col min="4" max="4" width="24.85546875" style="231" customWidth="1"/>
    <col min="5" max="5" width="30.42578125" style="231" customWidth="1"/>
    <col min="6" max="6" width="43.140625" style="231" customWidth="1"/>
    <col min="7" max="7" width="34.5703125" style="35" customWidth="1"/>
    <col min="8" max="16384" width="9.140625" style="35"/>
  </cols>
  <sheetData>
    <row r="1" spans="1:7" ht="15.75" thickBot="1" x14ac:dyDescent="0.3">
      <c r="A1" s="131" t="s">
        <v>75</v>
      </c>
      <c r="B1" s="283"/>
      <c r="C1" s="229"/>
      <c r="D1" s="230"/>
      <c r="E1" s="230"/>
    </row>
    <row r="2" spans="1:7" ht="28.15" customHeight="1" thickBot="1" x14ac:dyDescent="0.25">
      <c r="A2" s="34" t="s">
        <v>0</v>
      </c>
      <c r="B2" s="292" t="s">
        <v>274</v>
      </c>
      <c r="C2" s="293"/>
      <c r="D2" s="293"/>
      <c r="E2" s="293"/>
      <c r="F2" s="293"/>
      <c r="G2" s="294"/>
    </row>
    <row r="3" spans="1:7" ht="15.75" thickBot="1" x14ac:dyDescent="0.25">
      <c r="A3" s="36" t="s">
        <v>1</v>
      </c>
      <c r="B3" s="37" t="s">
        <v>22</v>
      </c>
      <c r="C3" s="232"/>
      <c r="D3" s="233" t="s">
        <v>271</v>
      </c>
      <c r="E3" s="234" t="s">
        <v>279</v>
      </c>
      <c r="F3" s="233" t="s">
        <v>262</v>
      </c>
      <c r="G3" s="295"/>
    </row>
    <row r="4" spans="1:7" ht="46.5" customHeight="1" thickBot="1" x14ac:dyDescent="0.25">
      <c r="A4" s="186" t="s">
        <v>261</v>
      </c>
      <c r="B4" s="307" t="s">
        <v>278</v>
      </c>
      <c r="C4" s="38" t="s">
        <v>2</v>
      </c>
      <c r="D4" s="235"/>
      <c r="E4" s="235"/>
      <c r="F4" s="235"/>
      <c r="G4" s="296"/>
    </row>
    <row r="5" spans="1:7" ht="15.75" thickBot="1" x14ac:dyDescent="0.25">
      <c r="A5" s="187"/>
      <c r="B5" s="308"/>
      <c r="C5" s="39" t="s">
        <v>3</v>
      </c>
      <c r="D5" s="236"/>
      <c r="E5" s="237"/>
      <c r="F5" s="237"/>
      <c r="G5" s="296"/>
    </row>
    <row r="6" spans="1:7" ht="15" customHeight="1" x14ac:dyDescent="0.2">
      <c r="A6" s="187"/>
      <c r="B6" s="308"/>
      <c r="C6" s="342" t="s">
        <v>4</v>
      </c>
      <c r="D6" s="343"/>
      <c r="E6" s="343"/>
      <c r="F6" s="344"/>
      <c r="G6" s="296"/>
    </row>
    <row r="7" spans="1:7" ht="18.75" customHeight="1" thickBot="1" x14ac:dyDescent="0.25">
      <c r="A7" s="187"/>
      <c r="B7" s="309"/>
      <c r="C7" s="345"/>
      <c r="D7" s="346"/>
      <c r="E7" s="346"/>
      <c r="F7" s="347"/>
      <c r="G7" s="296"/>
    </row>
    <row r="8" spans="1:7" ht="15.75" thickBot="1" x14ac:dyDescent="0.25">
      <c r="A8" s="187"/>
      <c r="B8" s="34" t="s">
        <v>23</v>
      </c>
      <c r="C8" s="232"/>
      <c r="D8" s="233" t="str">
        <f>D$3</f>
        <v>Baseline 2015</v>
      </c>
      <c r="E8" s="233" t="str">
        <f>E$3</f>
        <v>June 2015</v>
      </c>
      <c r="F8" s="233" t="str">
        <f>F$3</f>
        <v>Target 2015</v>
      </c>
      <c r="G8" s="296"/>
    </row>
    <row r="9" spans="1:7" ht="29.25" customHeight="1" thickBot="1" x14ac:dyDescent="0.25">
      <c r="A9" s="187"/>
      <c r="B9" s="307"/>
      <c r="C9" s="38" t="s">
        <v>2</v>
      </c>
      <c r="D9" s="238"/>
      <c r="E9" s="238"/>
      <c r="F9" s="238"/>
      <c r="G9" s="296"/>
    </row>
    <row r="10" spans="1:7" ht="15.75" thickBot="1" x14ac:dyDescent="0.25">
      <c r="A10" s="187"/>
      <c r="B10" s="308"/>
      <c r="C10" s="39" t="s">
        <v>3</v>
      </c>
      <c r="D10" s="236"/>
      <c r="E10" s="239"/>
      <c r="F10" s="239"/>
      <c r="G10" s="296"/>
    </row>
    <row r="11" spans="1:7" ht="15" customHeight="1" x14ac:dyDescent="0.2">
      <c r="A11" s="187"/>
      <c r="B11" s="308"/>
      <c r="C11" s="342" t="s">
        <v>4</v>
      </c>
      <c r="D11" s="343"/>
      <c r="E11" s="343"/>
      <c r="F11" s="344"/>
      <c r="G11" s="296"/>
    </row>
    <row r="12" spans="1:7" ht="13.5" customHeight="1" thickBot="1" x14ac:dyDescent="0.25">
      <c r="A12" s="188"/>
      <c r="B12" s="309"/>
      <c r="C12" s="345"/>
      <c r="D12" s="346"/>
      <c r="E12" s="346"/>
      <c r="F12" s="347"/>
      <c r="G12" s="297"/>
    </row>
    <row r="13" spans="1:7" ht="15.75" thickBot="1" x14ac:dyDescent="0.25">
      <c r="A13" s="40"/>
      <c r="B13" s="40"/>
      <c r="C13" s="240"/>
      <c r="D13" s="241"/>
      <c r="E13" s="241"/>
      <c r="F13" s="241"/>
      <c r="G13" s="40"/>
    </row>
    <row r="14" spans="1:7" ht="15.75" thickBot="1" x14ac:dyDescent="0.25">
      <c r="A14" s="41" t="s">
        <v>5</v>
      </c>
      <c r="B14" s="42" t="s">
        <v>28</v>
      </c>
      <c r="C14" s="242"/>
      <c r="D14" s="243" t="str">
        <f>D$3</f>
        <v>Baseline 2015</v>
      </c>
      <c r="E14" s="226" t="str">
        <f>E$3</f>
        <v>June 2015</v>
      </c>
      <c r="F14" s="226" t="str">
        <f>F$3</f>
        <v>Target 2015</v>
      </c>
      <c r="G14" s="43" t="s">
        <v>6</v>
      </c>
    </row>
    <row r="15" spans="1:7" ht="45" customHeight="1" thickBot="1" x14ac:dyDescent="0.25">
      <c r="A15" s="190" t="s">
        <v>263</v>
      </c>
      <c r="B15" s="196" t="s">
        <v>281</v>
      </c>
      <c r="C15" s="38" t="s">
        <v>2</v>
      </c>
      <c r="D15" s="244" t="s">
        <v>280</v>
      </c>
      <c r="E15" s="244" t="s">
        <v>280</v>
      </c>
      <c r="F15" s="244" t="s">
        <v>280</v>
      </c>
      <c r="G15" s="287"/>
    </row>
    <row r="16" spans="1:7" ht="15.75" thickBot="1" x14ac:dyDescent="0.25">
      <c r="A16" s="191"/>
      <c r="B16" s="197"/>
      <c r="C16" s="39" t="s">
        <v>3</v>
      </c>
      <c r="D16" s="245"/>
      <c r="E16" s="246"/>
      <c r="F16" s="246"/>
      <c r="G16" s="288"/>
    </row>
    <row r="17" spans="1:7" ht="16.5" customHeight="1" thickBot="1" x14ac:dyDescent="0.25">
      <c r="A17" s="191"/>
      <c r="B17" s="197"/>
      <c r="C17" s="225"/>
      <c r="D17" s="321" t="s">
        <v>4</v>
      </c>
      <c r="E17" s="322"/>
      <c r="F17" s="322"/>
      <c r="G17" s="288"/>
    </row>
    <row r="18" spans="1:7" ht="15" thickBot="1" x14ac:dyDescent="0.25">
      <c r="A18" s="191"/>
      <c r="B18" s="198"/>
      <c r="C18" s="227"/>
      <c r="D18" s="319" t="s">
        <v>282</v>
      </c>
      <c r="E18" s="320"/>
      <c r="F18" s="320"/>
      <c r="G18" s="288"/>
    </row>
    <row r="19" spans="1:7" ht="15.75" thickBot="1" x14ac:dyDescent="0.25">
      <c r="A19" s="191"/>
      <c r="B19" s="37" t="s">
        <v>29</v>
      </c>
      <c r="C19" s="232"/>
      <c r="D19" s="233" t="str">
        <f>D$3</f>
        <v>Baseline 2015</v>
      </c>
      <c r="E19" s="233" t="str">
        <f>E$3</f>
        <v>June 2015</v>
      </c>
      <c r="F19" s="233" t="str">
        <f>F$3</f>
        <v>Target 2015</v>
      </c>
      <c r="G19" s="288"/>
    </row>
    <row r="20" spans="1:7" ht="18" customHeight="1" thickBot="1" x14ac:dyDescent="0.25">
      <c r="A20" s="191"/>
      <c r="B20" s="307" t="s">
        <v>276</v>
      </c>
      <c r="C20" s="38" t="s">
        <v>2</v>
      </c>
      <c r="D20" s="244" t="s">
        <v>277</v>
      </c>
      <c r="E20" s="244" t="s">
        <v>277</v>
      </c>
      <c r="F20" s="244" t="s">
        <v>41</v>
      </c>
      <c r="G20" s="288"/>
    </row>
    <row r="21" spans="1:7" ht="15.75" thickBot="1" x14ac:dyDescent="0.25">
      <c r="A21" s="191"/>
      <c r="B21" s="308"/>
      <c r="C21" s="39" t="s">
        <v>3</v>
      </c>
      <c r="D21" s="236"/>
      <c r="E21" s="239"/>
      <c r="F21" s="239"/>
      <c r="G21" s="288"/>
    </row>
    <row r="22" spans="1:7" ht="15.75" thickBot="1" x14ac:dyDescent="0.25">
      <c r="A22" s="191"/>
      <c r="B22" s="308"/>
      <c r="C22" s="225"/>
      <c r="D22" s="321" t="s">
        <v>4</v>
      </c>
      <c r="E22" s="322"/>
      <c r="F22" s="322"/>
      <c r="G22" s="288"/>
    </row>
    <row r="23" spans="1:7" ht="31.5" customHeight="1" thickBot="1" x14ac:dyDescent="0.25">
      <c r="A23" s="191"/>
      <c r="B23" s="309"/>
      <c r="C23" s="227"/>
      <c r="D23" s="319" t="s">
        <v>275</v>
      </c>
      <c r="E23" s="320"/>
      <c r="F23" s="320"/>
      <c r="G23" s="288"/>
    </row>
    <row r="24" spans="1:7" ht="15.75" thickBot="1" x14ac:dyDescent="0.25">
      <c r="A24" s="191"/>
      <c r="B24" s="42" t="s">
        <v>30</v>
      </c>
      <c r="C24" s="242"/>
      <c r="D24" s="233" t="str">
        <f>D$3</f>
        <v>Baseline 2015</v>
      </c>
      <c r="E24" s="233" t="str">
        <f>E$3</f>
        <v>June 2015</v>
      </c>
      <c r="F24" s="233" t="str">
        <f>F$3</f>
        <v>Target 2015</v>
      </c>
      <c r="G24" s="288"/>
    </row>
    <row r="25" spans="1:7" ht="15.75" thickBot="1" x14ac:dyDescent="0.25">
      <c r="A25" s="191"/>
      <c r="B25" s="307"/>
      <c r="C25" s="38" t="s">
        <v>2</v>
      </c>
      <c r="D25" s="247"/>
      <c r="E25" s="248"/>
      <c r="F25" s="248"/>
      <c r="G25" s="288"/>
    </row>
    <row r="26" spans="1:7" ht="15.75" thickBot="1" x14ac:dyDescent="0.25">
      <c r="A26" s="191"/>
      <c r="B26" s="308"/>
      <c r="C26" s="39" t="s">
        <v>3</v>
      </c>
      <c r="D26" s="249"/>
      <c r="E26" s="250"/>
      <c r="F26" s="250"/>
      <c r="G26" s="289"/>
    </row>
    <row r="27" spans="1:7" ht="15.75" thickBot="1" x14ac:dyDescent="0.25">
      <c r="A27" s="191"/>
      <c r="B27" s="308"/>
      <c r="C27" s="225"/>
      <c r="D27" s="321" t="s">
        <v>4</v>
      </c>
      <c r="E27" s="322"/>
      <c r="F27" s="322"/>
      <c r="G27" s="44" t="s">
        <v>16</v>
      </c>
    </row>
    <row r="28" spans="1:7" ht="15" thickBot="1" x14ac:dyDescent="0.25">
      <c r="A28" s="192"/>
      <c r="B28" s="309"/>
      <c r="C28" s="227"/>
      <c r="D28" s="319"/>
      <c r="E28" s="320"/>
      <c r="F28" s="320"/>
      <c r="G28" s="90"/>
    </row>
    <row r="29" spans="1:7" ht="15.75" thickBot="1" x14ac:dyDescent="0.25">
      <c r="A29" s="313"/>
      <c r="B29" s="45" t="s">
        <v>8</v>
      </c>
      <c r="C29" s="251"/>
      <c r="D29" s="252" t="s">
        <v>9</v>
      </c>
      <c r="E29" s="252" t="s">
        <v>10</v>
      </c>
      <c r="F29" s="252" t="s">
        <v>11</v>
      </c>
      <c r="G29" s="89"/>
    </row>
    <row r="30" spans="1:7" ht="15.75" thickBot="1" x14ac:dyDescent="0.25">
      <c r="A30" s="314"/>
      <c r="B30" s="46"/>
      <c r="C30" s="104"/>
      <c r="D30" s="253"/>
      <c r="E30" s="253"/>
      <c r="F30" s="253"/>
      <c r="G30" s="88"/>
    </row>
    <row r="31" spans="1:7" ht="15.75" thickBot="1" x14ac:dyDescent="0.25">
      <c r="A31" s="313" t="s">
        <v>12</v>
      </c>
      <c r="B31" s="45" t="s">
        <v>13</v>
      </c>
      <c r="C31" s="254"/>
      <c r="D31" s="301"/>
      <c r="E31" s="302"/>
      <c r="F31" s="302"/>
      <c r="G31" s="303"/>
    </row>
    <row r="32" spans="1:7" ht="15.75" thickBot="1" x14ac:dyDescent="0.25">
      <c r="A32" s="314"/>
      <c r="B32" s="46"/>
      <c r="C32" s="255"/>
      <c r="D32" s="304"/>
      <c r="E32" s="305"/>
      <c r="F32" s="305"/>
      <c r="G32" s="306"/>
    </row>
    <row r="33" spans="1:7" ht="15.75" thickBot="1" x14ac:dyDescent="0.25">
      <c r="A33" s="40"/>
      <c r="B33" s="40"/>
      <c r="C33" s="240"/>
      <c r="D33" s="241"/>
      <c r="E33" s="241"/>
      <c r="F33" s="241"/>
      <c r="G33" s="40"/>
    </row>
    <row r="34" spans="1:7" ht="15.75" thickBot="1" x14ac:dyDescent="0.25">
      <c r="A34" s="91" t="s">
        <v>31</v>
      </c>
      <c r="B34" s="99" t="s">
        <v>17</v>
      </c>
      <c r="C34" s="256"/>
      <c r="D34" s="243" t="str">
        <f>$D$3</f>
        <v>Baseline 2015</v>
      </c>
      <c r="E34" s="257" t="str">
        <f>$E$3</f>
        <v>June 2015</v>
      </c>
      <c r="F34" s="226" t="str">
        <f>$F$3</f>
        <v>Target 2015</v>
      </c>
      <c r="G34" s="43" t="s">
        <v>14</v>
      </c>
    </row>
    <row r="35" spans="1:7" ht="72" thickBot="1" x14ac:dyDescent="0.25">
      <c r="A35" s="186" t="s">
        <v>264</v>
      </c>
      <c r="B35" s="201" t="s">
        <v>283</v>
      </c>
      <c r="C35" s="38" t="s">
        <v>2</v>
      </c>
      <c r="D35" s="248">
        <v>0</v>
      </c>
      <c r="E35" s="248">
        <f>Output_1.1_Planned_Yr2/2</f>
        <v>55640</v>
      </c>
      <c r="F35" s="248">
        <v>111280</v>
      </c>
      <c r="G35" s="92"/>
    </row>
    <row r="36" spans="1:7" ht="15.75" thickBot="1" x14ac:dyDescent="0.25">
      <c r="A36" s="187"/>
      <c r="B36" s="185"/>
      <c r="C36" s="39" t="s">
        <v>3</v>
      </c>
      <c r="D36" s="236"/>
      <c r="E36" s="239"/>
      <c r="F36" s="239"/>
      <c r="G36" s="93"/>
    </row>
    <row r="37" spans="1:7" ht="15.75" thickBot="1" x14ac:dyDescent="0.25">
      <c r="A37" s="187"/>
      <c r="B37" s="185"/>
      <c r="C37" s="310" t="s">
        <v>4</v>
      </c>
      <c r="D37" s="311"/>
      <c r="E37" s="311"/>
      <c r="F37" s="312"/>
      <c r="G37" s="93"/>
    </row>
    <row r="38" spans="1:7" ht="13.5" customHeight="1" thickBot="1" x14ac:dyDescent="0.25">
      <c r="A38" s="187"/>
      <c r="B38" s="185"/>
      <c r="C38" s="298" t="s">
        <v>288</v>
      </c>
      <c r="D38" s="299"/>
      <c r="E38" s="299"/>
      <c r="F38" s="300"/>
      <c r="G38" s="93"/>
    </row>
    <row r="39" spans="1:7" ht="15.75" thickBot="1" x14ac:dyDescent="0.25">
      <c r="A39" s="187"/>
      <c r="B39" s="42" t="s">
        <v>18</v>
      </c>
      <c r="C39" s="232"/>
      <c r="D39" s="243" t="str">
        <f>$D$3</f>
        <v>Baseline 2015</v>
      </c>
      <c r="E39" s="257" t="str">
        <f>$E$3</f>
        <v>June 2015</v>
      </c>
      <c r="F39" s="226" t="str">
        <f>$F$3</f>
        <v>Target 2015</v>
      </c>
      <c r="G39" s="93"/>
    </row>
    <row r="40" spans="1:7" ht="29.25" thickBot="1" x14ac:dyDescent="0.25">
      <c r="A40" s="187"/>
      <c r="B40" s="196" t="s">
        <v>284</v>
      </c>
      <c r="C40" s="47" t="s">
        <v>2</v>
      </c>
      <c r="D40" s="238">
        <v>0</v>
      </c>
      <c r="E40" s="248">
        <f>Output_1.2_Planned_Yr2/2</f>
        <v>660000</v>
      </c>
      <c r="F40" s="248">
        <v>1320000</v>
      </c>
      <c r="G40" s="93"/>
    </row>
    <row r="41" spans="1:7" ht="15.75" thickBot="1" x14ac:dyDescent="0.25">
      <c r="A41" s="187"/>
      <c r="B41" s="197"/>
      <c r="C41" s="38" t="s">
        <v>3</v>
      </c>
      <c r="D41" s="258"/>
      <c r="E41" s="239"/>
      <c r="F41" s="239"/>
      <c r="G41" s="93"/>
    </row>
    <row r="42" spans="1:7" ht="15.75" thickBot="1" x14ac:dyDescent="0.25">
      <c r="A42" s="187"/>
      <c r="B42" s="197"/>
      <c r="C42" s="316" t="s">
        <v>4</v>
      </c>
      <c r="D42" s="317"/>
      <c r="E42" s="317"/>
      <c r="F42" s="318"/>
      <c r="G42" s="93"/>
    </row>
    <row r="43" spans="1:7" ht="15.75" thickBot="1" x14ac:dyDescent="0.25">
      <c r="A43" s="187"/>
      <c r="B43" s="197"/>
      <c r="C43" s="298" t="s">
        <v>288</v>
      </c>
      <c r="D43" s="299"/>
      <c r="E43" s="299"/>
      <c r="F43" s="300"/>
      <c r="G43" s="93"/>
    </row>
    <row r="44" spans="1:7" ht="15.75" thickBot="1" x14ac:dyDescent="0.25">
      <c r="A44" s="187"/>
      <c r="B44" s="37" t="s">
        <v>19</v>
      </c>
      <c r="C44" s="232"/>
      <c r="D44" s="243" t="str">
        <f>$D$3</f>
        <v>Baseline 2015</v>
      </c>
      <c r="E44" s="257" t="str">
        <f>$E$3</f>
        <v>June 2015</v>
      </c>
      <c r="F44" s="226" t="str">
        <f>$F$3</f>
        <v>Target 2015</v>
      </c>
      <c r="G44" s="93"/>
    </row>
    <row r="45" spans="1:7" ht="15.75" thickBot="1" x14ac:dyDescent="0.25">
      <c r="A45" s="187"/>
      <c r="B45" s="201" t="s">
        <v>285</v>
      </c>
      <c r="C45" s="47" t="s">
        <v>2</v>
      </c>
      <c r="D45" s="248">
        <v>0</v>
      </c>
      <c r="E45" s="248">
        <f>Output_1.3_Planned_Yr2/2</f>
        <v>224000</v>
      </c>
      <c r="F45" s="248">
        <v>448000</v>
      </c>
      <c r="G45" s="93"/>
    </row>
    <row r="46" spans="1:7" ht="15.75" thickBot="1" x14ac:dyDescent="0.25">
      <c r="A46" s="187"/>
      <c r="B46" s="185"/>
      <c r="C46" s="38" t="s">
        <v>3</v>
      </c>
      <c r="D46" s="258"/>
      <c r="E46" s="239"/>
      <c r="F46" s="239"/>
      <c r="G46" s="93"/>
    </row>
    <row r="47" spans="1:7" ht="15.75" thickBot="1" x14ac:dyDescent="0.25">
      <c r="A47" s="187"/>
      <c r="B47" s="185"/>
      <c r="C47" s="316" t="s">
        <v>4</v>
      </c>
      <c r="D47" s="317"/>
      <c r="E47" s="317"/>
      <c r="F47" s="317"/>
      <c r="G47" s="93"/>
    </row>
    <row r="48" spans="1:7" ht="15" thickBot="1" x14ac:dyDescent="0.25">
      <c r="A48" s="188"/>
      <c r="B48" s="189"/>
      <c r="C48" s="290"/>
      <c r="D48" s="291"/>
      <c r="E48" s="291"/>
      <c r="F48" s="315"/>
      <c r="G48" s="98"/>
    </row>
    <row r="49" spans="1:7" ht="15.75" thickBot="1" x14ac:dyDescent="0.25">
      <c r="B49" s="100" t="s">
        <v>60</v>
      </c>
      <c r="C49" s="232"/>
      <c r="D49" s="243" t="str">
        <f>$D$3</f>
        <v>Baseline 2015</v>
      </c>
      <c r="E49" s="257" t="str">
        <f>$E$3</f>
        <v>June 2015</v>
      </c>
      <c r="F49" s="226" t="str">
        <f>$F$3</f>
        <v>Target 2015</v>
      </c>
      <c r="G49" s="93"/>
    </row>
    <row r="50" spans="1:7" ht="43.5" thickBot="1" x14ac:dyDescent="0.25">
      <c r="B50" s="209" t="s">
        <v>286</v>
      </c>
      <c r="C50" s="47" t="s">
        <v>2</v>
      </c>
      <c r="D50" s="259">
        <v>0</v>
      </c>
      <c r="E50" s="260">
        <f>Output_1.4_Planned_Yr2/2</f>
        <v>15400</v>
      </c>
      <c r="F50" s="261">
        <v>30800</v>
      </c>
      <c r="G50" s="93"/>
    </row>
    <row r="51" spans="1:7" ht="15.75" thickBot="1" x14ac:dyDescent="0.25">
      <c r="A51" s="49"/>
      <c r="B51" s="210"/>
      <c r="C51" s="38" t="s">
        <v>3</v>
      </c>
      <c r="D51" s="236"/>
      <c r="E51" s="250"/>
      <c r="F51" s="239"/>
      <c r="G51" s="94"/>
    </row>
    <row r="52" spans="1:7" ht="15.75" thickBot="1" x14ac:dyDescent="0.25">
      <c r="A52" s="49"/>
      <c r="B52" s="210"/>
      <c r="C52" s="310" t="s">
        <v>4</v>
      </c>
      <c r="D52" s="311"/>
      <c r="E52" s="311"/>
      <c r="F52" s="312"/>
      <c r="G52" s="50" t="s">
        <v>16</v>
      </c>
    </row>
    <row r="53" spans="1:7" ht="15" thickBot="1" x14ac:dyDescent="0.25">
      <c r="A53" s="51"/>
      <c r="B53" s="211"/>
      <c r="C53" s="290" t="s">
        <v>288</v>
      </c>
      <c r="D53" s="291"/>
      <c r="E53" s="291"/>
      <c r="F53" s="291"/>
      <c r="G53" s="90"/>
    </row>
    <row r="54" spans="1:7" ht="15.75" thickBot="1" x14ac:dyDescent="0.25">
      <c r="A54" s="41" t="s">
        <v>15</v>
      </c>
      <c r="B54" s="100" t="s">
        <v>66</v>
      </c>
      <c r="C54" s="232"/>
      <c r="D54" s="243" t="str">
        <f>$D$3</f>
        <v>Baseline 2015</v>
      </c>
      <c r="E54" s="257" t="str">
        <f>$E$3</f>
        <v>June 2015</v>
      </c>
      <c r="F54" s="226" t="str">
        <f>$F$3</f>
        <v>Target 2015</v>
      </c>
      <c r="G54" s="89"/>
    </row>
    <row r="55" spans="1:7" ht="29.25" thickBot="1" x14ac:dyDescent="0.25">
      <c r="A55" s="110">
        <v>0.45</v>
      </c>
      <c r="B55" s="209" t="s">
        <v>287</v>
      </c>
      <c r="C55" s="47" t="s">
        <v>2</v>
      </c>
      <c r="D55" s="248">
        <v>0</v>
      </c>
      <c r="E55" s="248">
        <f>F55/2</f>
        <v>64000</v>
      </c>
      <c r="F55" s="248">
        <v>128000</v>
      </c>
      <c r="G55" s="97"/>
    </row>
    <row r="56" spans="1:7" ht="15.75" thickBot="1" x14ac:dyDescent="0.25">
      <c r="A56" s="108"/>
      <c r="B56" s="210"/>
      <c r="C56" s="38" t="s">
        <v>3</v>
      </c>
      <c r="D56" s="236"/>
      <c r="E56" s="250"/>
      <c r="F56" s="239"/>
      <c r="G56" s="95"/>
    </row>
    <row r="57" spans="1:7" ht="15.75" thickBot="1" x14ac:dyDescent="0.25">
      <c r="A57" s="108"/>
      <c r="B57" s="210"/>
      <c r="C57" s="310" t="s">
        <v>4</v>
      </c>
      <c r="D57" s="311"/>
      <c r="E57" s="311"/>
      <c r="F57" s="312"/>
      <c r="G57" s="96"/>
    </row>
    <row r="58" spans="1:7" ht="15.75" thickBot="1" x14ac:dyDescent="0.25">
      <c r="A58" s="107"/>
      <c r="B58" s="211"/>
      <c r="C58" s="290" t="s">
        <v>288</v>
      </c>
      <c r="D58" s="291"/>
      <c r="E58" s="291"/>
      <c r="F58" s="291"/>
      <c r="G58" s="40"/>
    </row>
    <row r="59" spans="1:7" ht="15.75" thickBot="1" x14ac:dyDescent="0.25">
      <c r="A59" s="313" t="s">
        <v>7</v>
      </c>
      <c r="B59" s="45" t="s">
        <v>8</v>
      </c>
      <c r="C59" s="251"/>
      <c r="D59" s="252" t="s">
        <v>9</v>
      </c>
      <c r="E59" s="252" t="s">
        <v>10</v>
      </c>
      <c r="F59" s="252" t="s">
        <v>11</v>
      </c>
      <c r="G59" s="89"/>
    </row>
    <row r="60" spans="1:7" ht="15.75" thickBot="1" x14ac:dyDescent="0.25">
      <c r="A60" s="314"/>
      <c r="B60" s="284"/>
      <c r="C60" s="104"/>
      <c r="D60" s="253"/>
      <c r="E60" s="253"/>
      <c r="F60" s="253"/>
      <c r="G60" s="97"/>
    </row>
    <row r="61" spans="1:7" ht="15.75" thickBot="1" x14ac:dyDescent="0.25">
      <c r="A61" s="313" t="s">
        <v>12</v>
      </c>
      <c r="B61" s="45" t="s">
        <v>13</v>
      </c>
      <c r="C61" s="254"/>
      <c r="D61" s="262"/>
      <c r="E61" s="263"/>
      <c r="F61" s="263"/>
      <c r="G61" s="95"/>
    </row>
    <row r="62" spans="1:7" ht="15.75" thickBot="1" x14ac:dyDescent="0.25">
      <c r="A62" s="314"/>
      <c r="B62" s="46"/>
      <c r="C62" s="255"/>
      <c r="D62" s="264"/>
      <c r="E62" s="265"/>
      <c r="F62" s="265"/>
      <c r="G62" s="96"/>
    </row>
    <row r="63" spans="1:7" ht="15.75" thickBot="1" x14ac:dyDescent="0.25">
      <c r="A63" s="40"/>
      <c r="B63" s="40"/>
      <c r="C63" s="240"/>
      <c r="D63" s="241"/>
      <c r="E63" s="241"/>
      <c r="F63" s="241"/>
      <c r="G63" s="40"/>
    </row>
    <row r="64" spans="1:7" customFormat="1" ht="15.75" thickBot="1" x14ac:dyDescent="0.25">
      <c r="A64" s="91" t="s">
        <v>32</v>
      </c>
      <c r="B64" s="42" t="s">
        <v>70</v>
      </c>
      <c r="C64" s="242"/>
      <c r="D64" s="243" t="s">
        <v>67</v>
      </c>
      <c r="E64" s="226" t="s">
        <v>68</v>
      </c>
      <c r="F64" s="226" t="s">
        <v>262</v>
      </c>
      <c r="G64" s="43" t="s">
        <v>6</v>
      </c>
    </row>
    <row r="65" spans="1:7" customFormat="1" ht="72" thickBot="1" x14ac:dyDescent="0.25">
      <c r="A65" s="193" t="s">
        <v>265</v>
      </c>
      <c r="B65" s="196" t="s">
        <v>284</v>
      </c>
      <c r="C65" s="38" t="s">
        <v>2</v>
      </c>
      <c r="D65" s="248">
        <v>0</v>
      </c>
      <c r="E65" s="248">
        <f>Output_2.1_Planned_Yr2/2</f>
        <v>8584</v>
      </c>
      <c r="F65" s="248">
        <v>17168</v>
      </c>
      <c r="G65" s="287"/>
    </row>
    <row r="66" spans="1:7" customFormat="1" ht="15.75" thickBot="1" x14ac:dyDescent="0.25">
      <c r="A66" s="194"/>
      <c r="B66" s="197"/>
      <c r="C66" s="52" t="s">
        <v>3</v>
      </c>
      <c r="D66" s="236"/>
      <c r="E66" s="266"/>
      <c r="F66" s="266"/>
      <c r="G66" s="288"/>
    </row>
    <row r="67" spans="1:7" customFormat="1" ht="15.75" thickBot="1" x14ac:dyDescent="0.25">
      <c r="A67" s="194"/>
      <c r="B67" s="197"/>
      <c r="C67" s="310" t="s">
        <v>4</v>
      </c>
      <c r="D67" s="311"/>
      <c r="E67" s="311"/>
      <c r="F67" s="312"/>
      <c r="G67" s="288"/>
    </row>
    <row r="68" spans="1:7" customFormat="1" ht="15" thickBot="1" x14ac:dyDescent="0.25">
      <c r="A68" s="194"/>
      <c r="B68" s="198"/>
      <c r="C68" s="290" t="s">
        <v>288</v>
      </c>
      <c r="D68" s="291"/>
      <c r="E68" s="291"/>
      <c r="F68" s="291"/>
      <c r="G68" s="288"/>
    </row>
    <row r="69" spans="1:7" customFormat="1" ht="15.75" thickBot="1" x14ac:dyDescent="0.25">
      <c r="A69" s="194"/>
      <c r="B69" s="42" t="s">
        <v>20</v>
      </c>
      <c r="C69" s="232"/>
      <c r="D69" s="233" t="s">
        <v>67</v>
      </c>
      <c r="E69" s="233" t="s">
        <v>68</v>
      </c>
      <c r="F69" s="233" t="s">
        <v>262</v>
      </c>
      <c r="G69" s="288"/>
    </row>
    <row r="70" spans="1:7" customFormat="1" ht="29.25" customHeight="1" thickBot="1" x14ac:dyDescent="0.25">
      <c r="A70" s="194"/>
      <c r="B70" s="307" t="s">
        <v>289</v>
      </c>
      <c r="C70" s="53" t="s">
        <v>2</v>
      </c>
      <c r="D70" s="267">
        <v>0</v>
      </c>
      <c r="E70" s="238">
        <f>Output_2.2_Planned_Yr2/2</f>
        <v>4205</v>
      </c>
      <c r="F70" s="248">
        <v>8410</v>
      </c>
      <c r="G70" s="288"/>
    </row>
    <row r="71" spans="1:7" customFormat="1" ht="15.75" thickBot="1" x14ac:dyDescent="0.25">
      <c r="A71" s="194"/>
      <c r="B71" s="308"/>
      <c r="C71" s="38" t="s">
        <v>3</v>
      </c>
      <c r="D71" s="236"/>
      <c r="E71" s="266"/>
      <c r="F71" s="266"/>
      <c r="G71" s="288"/>
    </row>
    <row r="72" spans="1:7" customFormat="1" ht="15.75" thickBot="1" x14ac:dyDescent="0.25">
      <c r="A72" s="194"/>
      <c r="B72" s="308"/>
      <c r="C72" s="310" t="s">
        <v>4</v>
      </c>
      <c r="D72" s="311"/>
      <c r="E72" s="311"/>
      <c r="F72" s="311"/>
      <c r="G72" s="288"/>
    </row>
    <row r="73" spans="1:7" customFormat="1" ht="15" thickBot="1" x14ac:dyDescent="0.25">
      <c r="A73" s="194"/>
      <c r="B73" s="309"/>
      <c r="C73" s="290"/>
      <c r="D73" s="291"/>
      <c r="E73" s="291"/>
      <c r="F73" s="291"/>
      <c r="G73" s="288"/>
    </row>
    <row r="74" spans="1:7" ht="15.75" thickBot="1" x14ac:dyDescent="0.25">
      <c r="A74" s="194"/>
      <c r="B74" s="37" t="s">
        <v>21</v>
      </c>
      <c r="C74" s="242"/>
      <c r="D74" s="243" t="str">
        <f>D$3</f>
        <v>Baseline 2015</v>
      </c>
      <c r="E74" s="226" t="str">
        <f>E$3</f>
        <v>June 2015</v>
      </c>
      <c r="F74" s="226" t="str">
        <f>F$3</f>
        <v>Target 2015</v>
      </c>
      <c r="G74" s="288"/>
    </row>
    <row r="75" spans="1:7" ht="43.5" customHeight="1" thickBot="1" x14ac:dyDescent="0.25">
      <c r="A75" s="194"/>
      <c r="B75" s="339" t="s">
        <v>286</v>
      </c>
      <c r="C75" s="47" t="s">
        <v>2</v>
      </c>
      <c r="D75" s="238">
        <v>0</v>
      </c>
      <c r="E75" s="238">
        <f>Output_2.3_Planned_Yr2/2</f>
        <v>2755</v>
      </c>
      <c r="F75" s="248">
        <v>5510</v>
      </c>
      <c r="G75" s="288"/>
    </row>
    <row r="76" spans="1:7" ht="15.75" thickBot="1" x14ac:dyDescent="0.25">
      <c r="A76" s="194"/>
      <c r="B76" s="340"/>
      <c r="C76" s="38" t="s">
        <v>3</v>
      </c>
      <c r="D76" s="268"/>
      <c r="E76" s="266"/>
      <c r="F76" s="266"/>
      <c r="G76" s="288"/>
    </row>
    <row r="77" spans="1:7" ht="15.75" thickBot="1" x14ac:dyDescent="0.25">
      <c r="A77" s="194"/>
      <c r="B77" s="340"/>
      <c r="C77" s="310" t="s">
        <v>4</v>
      </c>
      <c r="D77" s="311"/>
      <c r="E77" s="311"/>
      <c r="F77" s="311"/>
      <c r="G77" s="288"/>
    </row>
    <row r="78" spans="1:7" ht="15" thickBot="1" x14ac:dyDescent="0.25">
      <c r="A78" s="195"/>
      <c r="B78" s="341"/>
      <c r="C78" s="290" t="s">
        <v>288</v>
      </c>
      <c r="D78" s="291"/>
      <c r="E78" s="291"/>
      <c r="F78" s="291"/>
      <c r="G78" s="288"/>
    </row>
    <row r="79" spans="1:7" ht="15.75" thickBot="1" x14ac:dyDescent="0.25">
      <c r="A79" s="41" t="s">
        <v>15</v>
      </c>
      <c r="B79" s="37" t="s">
        <v>61</v>
      </c>
      <c r="C79" s="232"/>
      <c r="D79" s="233" t="str">
        <f>D$3</f>
        <v>Baseline 2015</v>
      </c>
      <c r="E79" s="233" t="str">
        <f>E$3</f>
        <v>June 2015</v>
      </c>
      <c r="F79" s="233" t="str">
        <f>F$3</f>
        <v>Target 2015</v>
      </c>
      <c r="G79" s="288"/>
    </row>
    <row r="80" spans="1:7" ht="15.75" thickBot="1" x14ac:dyDescent="0.25">
      <c r="A80" s="48">
        <v>0.3</v>
      </c>
      <c r="B80" s="307"/>
      <c r="C80" s="53" t="s">
        <v>2</v>
      </c>
      <c r="D80" s="267"/>
      <c r="E80" s="238"/>
      <c r="F80" s="238"/>
      <c r="G80" s="288"/>
    </row>
    <row r="81" spans="1:7" ht="15.75" thickBot="1" x14ac:dyDescent="0.25">
      <c r="A81" s="49"/>
      <c r="B81" s="308"/>
      <c r="C81" s="38" t="s">
        <v>3</v>
      </c>
      <c r="D81" s="236"/>
      <c r="E81" s="266"/>
      <c r="F81" s="266"/>
      <c r="G81" s="289"/>
    </row>
    <row r="82" spans="1:7" ht="15.75" thickBot="1" x14ac:dyDescent="0.25">
      <c r="A82" s="49"/>
      <c r="B82" s="308"/>
      <c r="C82" s="310" t="s">
        <v>4</v>
      </c>
      <c r="D82" s="311"/>
      <c r="E82" s="311"/>
      <c r="F82" s="311"/>
      <c r="G82" s="44" t="s">
        <v>16</v>
      </c>
    </row>
    <row r="83" spans="1:7" ht="15" thickBot="1" x14ac:dyDescent="0.25">
      <c r="A83" s="51"/>
      <c r="B83" s="309"/>
      <c r="C83" s="290"/>
      <c r="D83" s="291"/>
      <c r="E83" s="291"/>
      <c r="F83" s="291"/>
      <c r="G83" s="90"/>
    </row>
    <row r="84" spans="1:7" ht="15.75" thickBot="1" x14ac:dyDescent="0.25">
      <c r="A84" s="313" t="s">
        <v>7</v>
      </c>
      <c r="B84" s="45" t="s">
        <v>8</v>
      </c>
      <c r="C84" s="251"/>
      <c r="D84" s="252" t="s">
        <v>9</v>
      </c>
      <c r="E84" s="252" t="s">
        <v>10</v>
      </c>
      <c r="F84" s="252" t="s">
        <v>11</v>
      </c>
      <c r="G84" s="60"/>
    </row>
    <row r="85" spans="1:7" ht="15.75" thickBot="1" x14ac:dyDescent="0.25">
      <c r="A85" s="314"/>
      <c r="B85" s="284"/>
      <c r="C85" s="104"/>
      <c r="D85" s="253"/>
      <c r="E85" s="253"/>
      <c r="F85" s="253"/>
      <c r="G85" s="59"/>
    </row>
    <row r="86" spans="1:7" ht="15.75" thickBot="1" x14ac:dyDescent="0.25">
      <c r="A86" s="313" t="s">
        <v>12</v>
      </c>
      <c r="B86" s="45" t="s">
        <v>13</v>
      </c>
      <c r="C86" s="254"/>
      <c r="D86" s="262"/>
      <c r="E86" s="263"/>
      <c r="F86" s="263"/>
      <c r="G86" s="61"/>
    </row>
    <row r="87" spans="1:7" ht="15.75" thickBot="1" x14ac:dyDescent="0.25">
      <c r="A87" s="314"/>
      <c r="B87" s="46"/>
      <c r="C87" s="255"/>
      <c r="D87" s="264"/>
      <c r="E87" s="265"/>
      <c r="F87" s="265"/>
      <c r="G87" s="62"/>
    </row>
    <row r="88" spans="1:7" ht="15" thickBot="1" x14ac:dyDescent="0.25"/>
    <row r="89" spans="1:7" customFormat="1" ht="15.75" thickBot="1" x14ac:dyDescent="0.25">
      <c r="A89" s="101" t="s">
        <v>33</v>
      </c>
      <c r="B89" s="99" t="s">
        <v>71</v>
      </c>
      <c r="C89" s="242"/>
      <c r="D89" s="226" t="str">
        <f>D3</f>
        <v>Baseline 2015</v>
      </c>
      <c r="E89" s="226" t="str">
        <f>E3</f>
        <v>June 2015</v>
      </c>
      <c r="F89" s="226" t="s">
        <v>262</v>
      </c>
      <c r="G89" s="102" t="s">
        <v>6</v>
      </c>
    </row>
    <row r="90" spans="1:7" customFormat="1" ht="72" thickBot="1" x14ac:dyDescent="0.25">
      <c r="A90" s="202" t="s">
        <v>266</v>
      </c>
      <c r="B90" s="209" t="s">
        <v>290</v>
      </c>
      <c r="C90" s="47" t="s">
        <v>2</v>
      </c>
      <c r="D90" s="248">
        <v>0</v>
      </c>
      <c r="E90" s="248">
        <f>Output_3.1_Planned_Yr2/2</f>
        <v>57656.5</v>
      </c>
      <c r="F90" s="270">
        <v>115313</v>
      </c>
      <c r="G90" s="287"/>
    </row>
    <row r="91" spans="1:7" customFormat="1" ht="15.75" thickBot="1" x14ac:dyDescent="0.25">
      <c r="A91" s="203"/>
      <c r="B91" s="210"/>
      <c r="C91" s="38" t="s">
        <v>3</v>
      </c>
      <c r="D91" s="236"/>
      <c r="E91" s="266"/>
      <c r="F91" s="228"/>
      <c r="G91" s="288"/>
    </row>
    <row r="92" spans="1:7" customFormat="1" ht="15.75" thickBot="1" x14ac:dyDescent="0.25">
      <c r="A92" s="203"/>
      <c r="B92" s="210"/>
      <c r="C92" s="207" t="s">
        <v>4</v>
      </c>
      <c r="D92" s="208"/>
      <c r="E92" s="208"/>
      <c r="F92" s="208"/>
      <c r="G92" s="288"/>
    </row>
    <row r="93" spans="1:7" customFormat="1" ht="15.75" thickBot="1" x14ac:dyDescent="0.25">
      <c r="A93" s="203"/>
      <c r="B93" s="210"/>
      <c r="C93" s="298" t="s">
        <v>288</v>
      </c>
      <c r="D93" s="299"/>
      <c r="E93" s="299"/>
      <c r="F93" s="300"/>
      <c r="G93" s="288"/>
    </row>
    <row r="94" spans="1:7" customFormat="1" ht="15.75" thickBot="1" x14ac:dyDescent="0.25">
      <c r="A94" s="203"/>
      <c r="B94" s="99" t="s">
        <v>34</v>
      </c>
      <c r="C94" s="242"/>
      <c r="D94" s="233" t="str">
        <f>D3</f>
        <v>Baseline 2015</v>
      </c>
      <c r="E94" s="233" t="str">
        <f>E3</f>
        <v>June 2015</v>
      </c>
      <c r="F94" s="271" t="s">
        <v>262</v>
      </c>
      <c r="G94" s="288"/>
    </row>
    <row r="95" spans="1:7" customFormat="1" ht="29.25" thickBot="1" x14ac:dyDescent="0.25">
      <c r="A95" s="203"/>
      <c r="B95" s="196" t="s">
        <v>289</v>
      </c>
      <c r="C95" s="47" t="s">
        <v>2</v>
      </c>
      <c r="D95" s="248">
        <v>0</v>
      </c>
      <c r="E95" s="248">
        <f>Output_3.2_Planned_Yr2/2</f>
        <v>357</v>
      </c>
      <c r="F95" s="270">
        <v>714</v>
      </c>
      <c r="G95" s="288"/>
    </row>
    <row r="96" spans="1:7" customFormat="1" ht="15.75" thickBot="1" x14ac:dyDescent="0.25">
      <c r="A96" s="203"/>
      <c r="B96" s="197"/>
      <c r="C96" s="38" t="s">
        <v>3</v>
      </c>
      <c r="D96" s="236"/>
      <c r="E96" s="266"/>
      <c r="F96" s="228"/>
      <c r="G96" s="288"/>
    </row>
    <row r="97" spans="1:7" customFormat="1" ht="16.5" customHeight="1" thickBot="1" x14ac:dyDescent="0.25">
      <c r="A97" s="203"/>
      <c r="B97" s="197"/>
      <c r="C97" s="207" t="s">
        <v>4</v>
      </c>
      <c r="D97" s="208"/>
      <c r="E97" s="208"/>
      <c r="F97" s="208"/>
      <c r="G97" s="288"/>
    </row>
    <row r="98" spans="1:7" ht="15" thickBot="1" x14ac:dyDescent="0.25">
      <c r="A98" s="203"/>
      <c r="B98" s="198"/>
      <c r="C98" s="290" t="s">
        <v>288</v>
      </c>
      <c r="D98" s="291"/>
      <c r="E98" s="291"/>
      <c r="F98" s="291"/>
      <c r="G98" s="288"/>
    </row>
    <row r="99" spans="1:7" ht="13.5" customHeight="1" thickBot="1" x14ac:dyDescent="0.25">
      <c r="A99" s="203"/>
      <c r="B99" s="37" t="s">
        <v>35</v>
      </c>
      <c r="C99" s="232"/>
      <c r="D99" s="233" t="str">
        <f>D$3</f>
        <v>Baseline 2015</v>
      </c>
      <c r="E99" s="233" t="str">
        <f>E$3</f>
        <v>June 2015</v>
      </c>
      <c r="F99" s="233" t="str">
        <f>F$3</f>
        <v>Target 2015</v>
      </c>
      <c r="G99" s="288"/>
    </row>
    <row r="100" spans="1:7" ht="43.5" thickBot="1" x14ac:dyDescent="0.25">
      <c r="A100" s="123"/>
      <c r="B100" s="201" t="s">
        <v>286</v>
      </c>
      <c r="C100" s="47" t="s">
        <v>2</v>
      </c>
      <c r="D100" s="238">
        <v>0</v>
      </c>
      <c r="E100" s="238">
        <f>Output_3.3_Planned_Yr2/2</f>
        <v>6039</v>
      </c>
      <c r="F100" s="248">
        <v>12078</v>
      </c>
      <c r="G100" s="288"/>
    </row>
    <row r="101" spans="1:7" ht="15.75" thickBot="1" x14ac:dyDescent="0.25">
      <c r="A101" s="123"/>
      <c r="B101" s="185"/>
      <c r="C101" s="38" t="s">
        <v>3</v>
      </c>
      <c r="D101" s="268"/>
      <c r="E101" s="266"/>
      <c r="F101" s="266"/>
      <c r="G101" s="288"/>
    </row>
    <row r="102" spans="1:7" ht="15.75" thickBot="1" x14ac:dyDescent="0.25">
      <c r="A102" s="123"/>
      <c r="B102" s="185"/>
      <c r="C102" s="310" t="s">
        <v>4</v>
      </c>
      <c r="D102" s="311"/>
      <c r="E102" s="311"/>
      <c r="F102" s="311"/>
      <c r="G102" s="288"/>
    </row>
    <row r="103" spans="1:7" ht="15" thickBot="1" x14ac:dyDescent="0.25">
      <c r="A103" s="124"/>
      <c r="B103" s="189"/>
      <c r="C103" s="290" t="s">
        <v>288</v>
      </c>
      <c r="D103" s="291"/>
      <c r="E103" s="291"/>
      <c r="F103" s="291"/>
      <c r="G103" s="288"/>
    </row>
    <row r="104" spans="1:7" ht="15.75" thickBot="1" x14ac:dyDescent="0.25">
      <c r="A104" s="41" t="s">
        <v>15</v>
      </c>
      <c r="B104" s="37" t="s">
        <v>65</v>
      </c>
      <c r="C104" s="232"/>
      <c r="D104" s="233" t="str">
        <f>D$3</f>
        <v>Baseline 2015</v>
      </c>
      <c r="E104" s="233" t="str">
        <f>E$3</f>
        <v>June 2015</v>
      </c>
      <c r="F104" s="233" t="str">
        <f>F$3</f>
        <v>Target 2015</v>
      </c>
      <c r="G104" s="288"/>
    </row>
    <row r="105" spans="1:7" ht="15.75" thickBot="1" x14ac:dyDescent="0.25">
      <c r="A105" s="48">
        <v>0.25</v>
      </c>
      <c r="B105" s="307"/>
      <c r="C105" s="53" t="s">
        <v>2</v>
      </c>
      <c r="D105" s="267"/>
      <c r="E105" s="238"/>
      <c r="F105" s="238"/>
      <c r="G105" s="288"/>
    </row>
    <row r="106" spans="1:7" ht="15.75" thickBot="1" x14ac:dyDescent="0.25">
      <c r="A106" s="49"/>
      <c r="B106" s="308"/>
      <c r="C106" s="38" t="s">
        <v>3</v>
      </c>
      <c r="D106" s="272"/>
      <c r="E106" s="266"/>
      <c r="F106" s="266"/>
      <c r="G106" s="289"/>
    </row>
    <row r="107" spans="1:7" ht="15.75" thickBot="1" x14ac:dyDescent="0.25">
      <c r="A107" s="49"/>
      <c r="B107" s="308"/>
      <c r="C107" s="310" t="s">
        <v>4</v>
      </c>
      <c r="D107" s="311"/>
      <c r="E107" s="311"/>
      <c r="F107" s="311"/>
      <c r="G107" s="44" t="s">
        <v>16</v>
      </c>
    </row>
    <row r="108" spans="1:7" ht="15" thickBot="1" x14ac:dyDescent="0.25">
      <c r="A108" s="51"/>
      <c r="B108" s="309"/>
      <c r="C108" s="290"/>
      <c r="D108" s="291"/>
      <c r="E108" s="291"/>
      <c r="F108" s="291"/>
      <c r="G108" s="90"/>
    </row>
    <row r="109" spans="1:7" ht="15.75" thickBot="1" x14ac:dyDescent="0.25">
      <c r="A109" s="313" t="s">
        <v>7</v>
      </c>
      <c r="B109" s="45" t="s">
        <v>8</v>
      </c>
      <c r="C109" s="251"/>
      <c r="D109" s="252" t="s">
        <v>9</v>
      </c>
      <c r="E109" s="252" t="s">
        <v>10</v>
      </c>
      <c r="F109" s="252" t="s">
        <v>11</v>
      </c>
      <c r="G109" s="60"/>
    </row>
    <row r="110" spans="1:7" ht="15.75" thickBot="1" x14ac:dyDescent="0.25">
      <c r="A110" s="314"/>
      <c r="B110" s="284"/>
      <c r="C110" s="104"/>
      <c r="D110" s="253"/>
      <c r="E110" s="253"/>
      <c r="F110" s="253"/>
      <c r="G110" s="59"/>
    </row>
    <row r="111" spans="1:7" ht="15.75" thickBot="1" x14ac:dyDescent="0.25">
      <c r="A111" s="313" t="s">
        <v>12</v>
      </c>
      <c r="B111" s="45" t="s">
        <v>13</v>
      </c>
      <c r="C111" s="254"/>
      <c r="D111" s="262"/>
      <c r="E111" s="263"/>
      <c r="F111" s="263"/>
      <c r="G111" s="61"/>
    </row>
    <row r="112" spans="1:7" ht="15.75" thickBot="1" x14ac:dyDescent="0.25">
      <c r="A112" s="314"/>
      <c r="B112" s="46"/>
      <c r="C112" s="255"/>
      <c r="D112" s="264"/>
      <c r="E112" s="265"/>
      <c r="F112" s="265"/>
      <c r="G112" s="62"/>
    </row>
    <row r="114" spans="1:7" customFormat="1" ht="15.75" hidden="1" thickBot="1" x14ac:dyDescent="0.25">
      <c r="A114" s="121" t="s">
        <v>46</v>
      </c>
      <c r="B114" s="42" t="s">
        <v>72</v>
      </c>
      <c r="C114" s="242"/>
      <c r="D114" s="226" t="s">
        <v>67</v>
      </c>
      <c r="E114" s="226" t="s">
        <v>68</v>
      </c>
      <c r="F114" s="226" t="s">
        <v>262</v>
      </c>
      <c r="G114" s="102" t="s">
        <v>6</v>
      </c>
    </row>
    <row r="115" spans="1:7" customFormat="1" ht="30" hidden="1" customHeight="1" thickTop="1" thickBot="1" x14ac:dyDescent="0.25">
      <c r="A115" s="181"/>
      <c r="B115" s="285"/>
      <c r="C115" s="47" t="s">
        <v>2</v>
      </c>
      <c r="D115" s="248"/>
      <c r="E115" s="248"/>
      <c r="F115" s="270"/>
      <c r="G115" s="328"/>
    </row>
    <row r="116" spans="1:7" customFormat="1" ht="16.5" hidden="1" thickTop="1" thickBot="1" x14ac:dyDescent="0.25">
      <c r="A116" s="182"/>
      <c r="B116" s="210"/>
      <c r="C116" s="38" t="s">
        <v>3</v>
      </c>
      <c r="D116" s="258"/>
      <c r="E116" s="266"/>
      <c r="F116" s="228"/>
      <c r="G116" s="328"/>
    </row>
    <row r="117" spans="1:7" customFormat="1" ht="16.5" hidden="1" thickTop="1" thickBot="1" x14ac:dyDescent="0.25">
      <c r="A117" s="182"/>
      <c r="B117" s="210"/>
      <c r="C117" s="310" t="s">
        <v>4</v>
      </c>
      <c r="D117" s="311"/>
      <c r="E117" s="311"/>
      <c r="F117" s="337"/>
      <c r="G117" s="328"/>
    </row>
    <row r="118" spans="1:7" customFormat="1" ht="16.5" hidden="1" thickTop="1" thickBot="1" x14ac:dyDescent="0.25">
      <c r="A118" s="182"/>
      <c r="B118" s="210"/>
      <c r="C118" s="298"/>
      <c r="D118" s="299"/>
      <c r="E118" s="299"/>
      <c r="F118" s="338"/>
      <c r="G118" s="328"/>
    </row>
    <row r="119" spans="1:7" customFormat="1" ht="16.5" hidden="1" thickTop="1" thickBot="1" x14ac:dyDescent="0.25">
      <c r="A119" s="182"/>
      <c r="B119" s="103" t="s">
        <v>47</v>
      </c>
      <c r="C119" s="273"/>
      <c r="D119" s="233" t="s">
        <v>67</v>
      </c>
      <c r="E119" s="233" t="s">
        <v>68</v>
      </c>
      <c r="F119" s="271" t="s">
        <v>262</v>
      </c>
      <c r="G119" s="328"/>
    </row>
    <row r="120" spans="1:7" customFormat="1" ht="58.5" hidden="1" thickTop="1" thickBot="1" x14ac:dyDescent="0.25">
      <c r="A120" s="182"/>
      <c r="B120" s="183" t="s">
        <v>270</v>
      </c>
      <c r="C120" s="104" t="s">
        <v>2</v>
      </c>
      <c r="D120" s="274"/>
      <c r="E120" s="275"/>
      <c r="F120" s="276"/>
      <c r="G120" s="328"/>
    </row>
    <row r="121" spans="1:7" customFormat="1" ht="16.5" hidden="1" thickTop="1" thickBot="1" x14ac:dyDescent="0.25">
      <c r="A121" s="182"/>
      <c r="B121" s="184"/>
      <c r="C121" s="47" t="s">
        <v>3</v>
      </c>
      <c r="D121" s="277"/>
      <c r="E121" s="278"/>
      <c r="F121" s="279"/>
      <c r="G121" s="328"/>
    </row>
    <row r="122" spans="1:7" customFormat="1" ht="16.5" hidden="1" thickTop="1" thickBot="1" x14ac:dyDescent="0.25">
      <c r="A122" s="182"/>
      <c r="B122" s="184"/>
      <c r="C122" s="330" t="s">
        <v>4</v>
      </c>
      <c r="D122" s="331"/>
      <c r="E122" s="331"/>
      <c r="F122" s="331"/>
      <c r="G122" s="328"/>
    </row>
    <row r="123" spans="1:7" customFormat="1" ht="15.75" hidden="1" thickTop="1" thickBot="1" x14ac:dyDescent="0.25">
      <c r="A123" s="182"/>
      <c r="B123" s="211"/>
      <c r="C123" s="290"/>
      <c r="D123" s="291"/>
      <c r="E123" s="291"/>
      <c r="F123" s="291"/>
      <c r="G123" s="328"/>
    </row>
    <row r="124" spans="1:7" customFormat="1" ht="16.5" hidden="1" thickTop="1" thickBot="1" x14ac:dyDescent="0.25">
      <c r="A124" s="182"/>
      <c r="B124" s="100" t="s">
        <v>48</v>
      </c>
      <c r="C124" s="232"/>
      <c r="D124" s="233" t="s">
        <v>67</v>
      </c>
      <c r="E124" s="233" t="s">
        <v>68</v>
      </c>
      <c r="F124" s="271" t="s">
        <v>69</v>
      </c>
      <c r="G124" s="328"/>
    </row>
    <row r="125" spans="1:7" customFormat="1" ht="21" hidden="1" customHeight="1" thickTop="1" thickBot="1" x14ac:dyDescent="0.25">
      <c r="A125" s="182"/>
      <c r="B125" s="325"/>
      <c r="C125" s="47" t="s">
        <v>2</v>
      </c>
      <c r="D125" s="238"/>
      <c r="E125" s="238"/>
      <c r="F125" s="280"/>
      <c r="G125" s="328"/>
    </row>
    <row r="126" spans="1:7" customFormat="1" ht="16.5" hidden="1" thickTop="1" thickBot="1" x14ac:dyDescent="0.25">
      <c r="A126" s="182"/>
      <c r="B126" s="326"/>
      <c r="C126" s="38" t="s">
        <v>3</v>
      </c>
      <c r="D126" s="258"/>
      <c r="E126" s="266"/>
      <c r="F126" s="228"/>
      <c r="G126" s="328"/>
    </row>
    <row r="127" spans="1:7" customFormat="1" ht="16.5" hidden="1" thickTop="1" thickBot="1" x14ac:dyDescent="0.25">
      <c r="A127" s="182"/>
      <c r="B127" s="326"/>
      <c r="C127" s="310" t="s">
        <v>4</v>
      </c>
      <c r="D127" s="311"/>
      <c r="E127" s="311"/>
      <c r="F127" s="311"/>
      <c r="G127" s="328"/>
    </row>
    <row r="128" spans="1:7" customFormat="1" ht="15.75" hidden="1" thickTop="1" thickBot="1" x14ac:dyDescent="0.25">
      <c r="A128" s="182"/>
      <c r="B128" s="327"/>
      <c r="C128" s="290"/>
      <c r="D128" s="291"/>
      <c r="E128" s="291"/>
      <c r="F128" s="291"/>
      <c r="G128" s="328"/>
    </row>
    <row r="129" spans="1:7" customFormat="1" ht="16.5" hidden="1" thickTop="1" thickBot="1" x14ac:dyDescent="0.25">
      <c r="A129" s="41" t="s">
        <v>15</v>
      </c>
      <c r="B129" s="100" t="s">
        <v>62</v>
      </c>
      <c r="C129" s="232"/>
      <c r="D129" s="233" t="s">
        <v>67</v>
      </c>
      <c r="E129" s="233" t="s">
        <v>68</v>
      </c>
      <c r="F129" s="271" t="s">
        <v>69</v>
      </c>
      <c r="G129" s="328"/>
    </row>
    <row r="130" spans="1:7" customFormat="1" ht="16.5" hidden="1" thickTop="1" thickBot="1" x14ac:dyDescent="0.25">
      <c r="A130" s="48"/>
      <c r="B130" s="325"/>
      <c r="C130" s="47" t="s">
        <v>2</v>
      </c>
      <c r="D130" s="238"/>
      <c r="E130" s="248"/>
      <c r="F130" s="270"/>
      <c r="G130" s="328"/>
    </row>
    <row r="131" spans="1:7" customFormat="1" ht="20.25" hidden="1" customHeight="1" thickTop="1" thickBot="1" x14ac:dyDescent="0.25">
      <c r="A131" s="144"/>
      <c r="B131" s="326"/>
      <c r="C131" s="38" t="s">
        <v>3</v>
      </c>
      <c r="D131" s="258"/>
      <c r="E131" s="266"/>
      <c r="F131" s="228"/>
      <c r="G131" s="328"/>
    </row>
    <row r="132" spans="1:7" customFormat="1" ht="16.5" hidden="1" thickTop="1" thickBot="1" x14ac:dyDescent="0.25">
      <c r="A132" s="144"/>
      <c r="B132" s="326"/>
      <c r="C132" s="310" t="s">
        <v>4</v>
      </c>
      <c r="D132" s="311"/>
      <c r="E132" s="311"/>
      <c r="F132" s="311"/>
      <c r="G132" s="328"/>
    </row>
    <row r="133" spans="1:7" customFormat="1" ht="15.75" hidden="1" thickTop="1" thickBot="1" x14ac:dyDescent="0.25">
      <c r="A133" s="145"/>
      <c r="B133" s="327"/>
      <c r="C133" s="290"/>
      <c r="D133" s="291"/>
      <c r="E133" s="291"/>
      <c r="F133" s="291"/>
      <c r="G133" s="329"/>
    </row>
    <row r="134" spans="1:7" customFormat="1" ht="15.75" hidden="1" thickBot="1" x14ac:dyDescent="0.25">
      <c r="A134" s="332" t="s">
        <v>7</v>
      </c>
      <c r="B134" s="105" t="s">
        <v>8</v>
      </c>
      <c r="C134" s="251"/>
      <c r="D134" s="252" t="s">
        <v>9</v>
      </c>
      <c r="E134" s="252" t="s">
        <v>10</v>
      </c>
      <c r="F134" s="252" t="s">
        <v>11</v>
      </c>
      <c r="G134" s="45"/>
    </row>
    <row r="135" spans="1:7" customFormat="1" ht="15.75" hidden="1" thickBot="1" x14ac:dyDescent="0.25">
      <c r="A135" s="333"/>
      <c r="B135" s="106"/>
      <c r="C135" s="104"/>
      <c r="D135" s="253"/>
      <c r="E135" s="253"/>
      <c r="F135" s="253"/>
      <c r="G135" s="97"/>
    </row>
    <row r="136" spans="1:7" ht="15.75" hidden="1" thickBot="1" x14ac:dyDescent="0.25">
      <c r="A136" s="313" t="s">
        <v>12</v>
      </c>
      <c r="B136" s="45" t="s">
        <v>13</v>
      </c>
      <c r="C136" s="254"/>
      <c r="D136" s="262"/>
      <c r="E136" s="263"/>
      <c r="F136" s="263"/>
      <c r="G136" s="61"/>
    </row>
    <row r="137" spans="1:7" ht="15.75" hidden="1" thickBot="1" x14ac:dyDescent="0.25">
      <c r="A137" s="314"/>
      <c r="B137" s="46"/>
      <c r="C137" s="255"/>
      <c r="D137" s="264"/>
      <c r="E137" s="265"/>
      <c r="F137" s="265"/>
      <c r="G137" s="62"/>
    </row>
    <row r="138" spans="1:7" ht="15" hidden="1" thickBot="1" x14ac:dyDescent="0.25"/>
    <row r="139" spans="1:7" customFormat="1" ht="14.25" hidden="1" customHeight="1" thickBot="1" x14ac:dyDescent="0.25">
      <c r="A139" s="101" t="s">
        <v>56</v>
      </c>
      <c r="B139" s="99" t="s">
        <v>57</v>
      </c>
      <c r="C139" s="242"/>
      <c r="D139" s="226" t="s">
        <v>67</v>
      </c>
      <c r="E139" s="226" t="s">
        <v>68</v>
      </c>
      <c r="F139" s="226" t="s">
        <v>69</v>
      </c>
      <c r="G139" s="102" t="s">
        <v>6</v>
      </c>
    </row>
    <row r="140" spans="1:7" customFormat="1" ht="15.75" hidden="1" thickBot="1" x14ac:dyDescent="0.25">
      <c r="A140" s="334"/>
      <c r="B140" s="209"/>
      <c r="C140" s="47" t="s">
        <v>2</v>
      </c>
      <c r="D140" s="281"/>
      <c r="E140" s="281"/>
      <c r="F140" s="282"/>
      <c r="G140" s="287"/>
    </row>
    <row r="141" spans="1:7" customFormat="1" ht="15.75" hidden="1" thickBot="1" x14ac:dyDescent="0.25">
      <c r="A141" s="335"/>
      <c r="B141" s="210"/>
      <c r="C141" s="38" t="s">
        <v>3</v>
      </c>
      <c r="D141" s="236"/>
      <c r="E141" s="266"/>
      <c r="F141" s="228"/>
      <c r="G141" s="288"/>
    </row>
    <row r="142" spans="1:7" customFormat="1" ht="15.75" hidden="1" thickBot="1" x14ac:dyDescent="0.25">
      <c r="A142" s="335"/>
      <c r="B142" s="210"/>
      <c r="C142" s="207" t="s">
        <v>4</v>
      </c>
      <c r="D142" s="208"/>
      <c r="E142" s="208"/>
      <c r="F142" s="208"/>
      <c r="G142" s="288"/>
    </row>
    <row r="143" spans="1:7" customFormat="1" ht="15.75" hidden="1" thickBot="1" x14ac:dyDescent="0.25">
      <c r="A143" s="335"/>
      <c r="B143" s="210"/>
      <c r="C143" s="298"/>
      <c r="D143" s="299"/>
      <c r="E143" s="299"/>
      <c r="F143" s="300"/>
      <c r="G143" s="288"/>
    </row>
    <row r="144" spans="1:7" customFormat="1" ht="15.75" hidden="1" customHeight="1" thickBot="1" x14ac:dyDescent="0.25">
      <c r="A144" s="335"/>
      <c r="B144" s="99" t="s">
        <v>58</v>
      </c>
      <c r="C144" s="242"/>
      <c r="D144" s="233" t="s">
        <v>67</v>
      </c>
      <c r="E144" s="233" t="s">
        <v>68</v>
      </c>
      <c r="F144" s="271" t="s">
        <v>69</v>
      </c>
      <c r="G144" s="288"/>
    </row>
    <row r="145" spans="1:7" customFormat="1" ht="20.25" hidden="1" customHeight="1" thickBot="1" x14ac:dyDescent="0.25">
      <c r="A145" s="335"/>
      <c r="B145" s="307"/>
      <c r="C145" s="47" t="s">
        <v>2</v>
      </c>
      <c r="D145" s="281"/>
      <c r="E145" s="281"/>
      <c r="F145" s="282"/>
      <c r="G145" s="288"/>
    </row>
    <row r="146" spans="1:7" customFormat="1" ht="18" hidden="1" customHeight="1" thickBot="1" x14ac:dyDescent="0.25">
      <c r="A146" s="335"/>
      <c r="B146" s="308"/>
      <c r="C146" s="38" t="s">
        <v>3</v>
      </c>
      <c r="D146" s="236"/>
      <c r="E146" s="266"/>
      <c r="F146" s="228"/>
      <c r="G146" s="288"/>
    </row>
    <row r="147" spans="1:7" customFormat="1" ht="15.75" hidden="1" thickBot="1" x14ac:dyDescent="0.25">
      <c r="A147" s="335"/>
      <c r="B147" s="323"/>
      <c r="C147" s="207" t="s">
        <v>4</v>
      </c>
      <c r="D147" s="208"/>
      <c r="E147" s="208"/>
      <c r="F147" s="208"/>
      <c r="G147" s="288"/>
    </row>
    <row r="148" spans="1:7" ht="15" hidden="1" thickBot="1" x14ac:dyDescent="0.25">
      <c r="A148" s="335"/>
      <c r="B148" s="324"/>
      <c r="C148" s="290"/>
      <c r="D148" s="291"/>
      <c r="E148" s="291"/>
      <c r="F148" s="291"/>
      <c r="G148" s="288"/>
    </row>
    <row r="149" spans="1:7" ht="13.5" hidden="1" customHeight="1" thickBot="1" x14ac:dyDescent="0.25">
      <c r="A149" s="335"/>
      <c r="B149" s="37" t="s">
        <v>59</v>
      </c>
      <c r="C149" s="232"/>
      <c r="D149" s="233" t="str">
        <f>D$3</f>
        <v>Baseline 2015</v>
      </c>
      <c r="E149" s="233" t="str">
        <f>E$3</f>
        <v>June 2015</v>
      </c>
      <c r="F149" s="233" t="str">
        <f>F$3</f>
        <v>Target 2015</v>
      </c>
      <c r="G149" s="288"/>
    </row>
    <row r="150" spans="1:7" ht="15.75" hidden="1" thickBot="1" x14ac:dyDescent="0.25">
      <c r="A150" s="335"/>
      <c r="B150" s="307"/>
      <c r="C150" s="47" t="s">
        <v>2</v>
      </c>
      <c r="D150" s="238"/>
      <c r="E150" s="238"/>
      <c r="F150" s="238"/>
      <c r="G150" s="288"/>
    </row>
    <row r="151" spans="1:7" ht="15.75" hidden="1" thickBot="1" x14ac:dyDescent="0.25">
      <c r="A151" s="335"/>
      <c r="B151" s="308"/>
      <c r="C151" s="38" t="s">
        <v>3</v>
      </c>
      <c r="D151" s="268"/>
      <c r="E151" s="266"/>
      <c r="F151" s="266"/>
      <c r="G151" s="288"/>
    </row>
    <row r="152" spans="1:7" ht="15.75" hidden="1" thickBot="1" x14ac:dyDescent="0.25">
      <c r="A152" s="335"/>
      <c r="B152" s="323"/>
      <c r="C152" s="310" t="s">
        <v>4</v>
      </c>
      <c r="D152" s="311"/>
      <c r="E152" s="311"/>
      <c r="F152" s="311"/>
      <c r="G152" s="288"/>
    </row>
    <row r="153" spans="1:7" ht="15" hidden="1" thickBot="1" x14ac:dyDescent="0.25">
      <c r="A153" s="336"/>
      <c r="B153" s="324"/>
      <c r="C153" s="290"/>
      <c r="D153" s="291"/>
      <c r="E153" s="291"/>
      <c r="F153" s="291"/>
      <c r="G153" s="288"/>
    </row>
    <row r="154" spans="1:7" ht="15.75" hidden="1" thickBot="1" x14ac:dyDescent="0.25">
      <c r="A154" s="122" t="s">
        <v>15</v>
      </c>
      <c r="B154" s="37" t="s">
        <v>63</v>
      </c>
      <c r="C154" s="232"/>
      <c r="D154" s="233" t="str">
        <f>D$3</f>
        <v>Baseline 2015</v>
      </c>
      <c r="E154" s="233" t="str">
        <f>E$3</f>
        <v>June 2015</v>
      </c>
      <c r="F154" s="233" t="str">
        <f>F$3</f>
        <v>Target 2015</v>
      </c>
      <c r="G154" s="288"/>
    </row>
    <row r="155" spans="1:7" ht="15.75" hidden="1" thickBot="1" x14ac:dyDescent="0.25">
      <c r="A155" s="48"/>
      <c r="B155" s="307"/>
      <c r="C155" s="53" t="s">
        <v>2</v>
      </c>
      <c r="D155" s="267"/>
      <c r="E155" s="238"/>
      <c r="F155" s="238"/>
      <c r="G155" s="288"/>
    </row>
    <row r="156" spans="1:7" ht="15.75" hidden="1" thickBot="1" x14ac:dyDescent="0.25">
      <c r="A156" s="49"/>
      <c r="B156" s="323"/>
      <c r="C156" s="38" t="s">
        <v>3</v>
      </c>
      <c r="D156" s="272"/>
      <c r="E156" s="266"/>
      <c r="F156" s="266"/>
      <c r="G156" s="289"/>
    </row>
    <row r="157" spans="1:7" ht="15.75" hidden="1" thickBot="1" x14ac:dyDescent="0.25">
      <c r="A157" s="49"/>
      <c r="B157" s="323"/>
      <c r="C157" s="310" t="s">
        <v>4</v>
      </c>
      <c r="D157" s="311"/>
      <c r="E157" s="311"/>
      <c r="F157" s="312"/>
      <c r="G157" s="50" t="s">
        <v>16</v>
      </c>
    </row>
    <row r="158" spans="1:7" ht="15" hidden="1" thickBot="1" x14ac:dyDescent="0.25">
      <c r="A158" s="51"/>
      <c r="B158" s="324"/>
      <c r="C158" s="290"/>
      <c r="D158" s="291"/>
      <c r="E158" s="291"/>
      <c r="F158" s="291"/>
      <c r="G158" s="90"/>
    </row>
    <row r="159" spans="1:7" ht="15.75" hidden="1" thickBot="1" x14ac:dyDescent="0.25">
      <c r="A159" s="313" t="s">
        <v>7</v>
      </c>
      <c r="B159" s="45" t="s">
        <v>8</v>
      </c>
      <c r="C159" s="251"/>
      <c r="D159" s="252" t="s">
        <v>9</v>
      </c>
      <c r="E159" s="252" t="s">
        <v>10</v>
      </c>
      <c r="F159" s="252" t="s">
        <v>11</v>
      </c>
      <c r="G159" s="89"/>
    </row>
    <row r="160" spans="1:7" ht="15.75" hidden="1" thickBot="1" x14ac:dyDescent="0.25">
      <c r="A160" s="314"/>
      <c r="B160" s="284"/>
      <c r="C160" s="104"/>
      <c r="D160" s="253"/>
      <c r="E160" s="253"/>
      <c r="F160" s="253"/>
      <c r="G160" s="120"/>
    </row>
    <row r="161" spans="1:7" ht="15.75" hidden="1" thickBot="1" x14ac:dyDescent="0.25">
      <c r="A161" s="313" t="s">
        <v>12</v>
      </c>
      <c r="B161" s="45" t="s">
        <v>13</v>
      </c>
      <c r="C161" s="254"/>
      <c r="D161" s="262"/>
      <c r="E161" s="263"/>
      <c r="F161" s="263"/>
      <c r="G161" s="95"/>
    </row>
    <row r="162" spans="1:7" ht="15.75" hidden="1" thickBot="1" x14ac:dyDescent="0.25">
      <c r="A162" s="314"/>
      <c r="B162" s="46"/>
      <c r="C162" s="255"/>
      <c r="D162" s="264"/>
      <c r="E162" s="265"/>
      <c r="F162" s="265"/>
      <c r="G162" s="96"/>
    </row>
    <row r="163" spans="1:7" hidden="1" x14ac:dyDescent="0.2"/>
    <row r="164" spans="1:7" hidden="1" x14ac:dyDescent="0.2"/>
    <row r="165" spans="1:7" hidden="1" x14ac:dyDescent="0.2"/>
    <row r="166" spans="1:7" hidden="1" x14ac:dyDescent="0.2"/>
    <row r="167" spans="1:7" hidden="1" x14ac:dyDescent="0.2"/>
    <row r="168" spans="1:7" hidden="1" x14ac:dyDescent="0.2"/>
    <row r="169" spans="1:7" hidden="1" x14ac:dyDescent="0.2"/>
    <row r="170" spans="1:7" hidden="1" x14ac:dyDescent="0.2"/>
    <row r="171" spans="1:7" hidden="1" x14ac:dyDescent="0.2"/>
    <row r="172" spans="1:7" hidden="1" x14ac:dyDescent="0.2"/>
    <row r="173" spans="1:7" hidden="1" x14ac:dyDescent="0.2"/>
    <row r="174" spans="1:7" hidden="1" x14ac:dyDescent="0.2"/>
    <row r="175" spans="1:7" hidden="1" x14ac:dyDescent="0.2"/>
    <row r="176" spans="1:7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</sheetData>
  <mergeCells count="82">
    <mergeCell ref="B75:B78"/>
    <mergeCell ref="C6:F6"/>
    <mergeCell ref="C7:F7"/>
    <mergeCell ref="C11:F11"/>
    <mergeCell ref="C12:F12"/>
    <mergeCell ref="B70:B73"/>
    <mergeCell ref="D17:F17"/>
    <mergeCell ref="C72:F72"/>
    <mergeCell ref="C73:F73"/>
    <mergeCell ref="D23:F23"/>
    <mergeCell ref="D18:F18"/>
    <mergeCell ref="D22:F22"/>
    <mergeCell ref="C77:F77"/>
    <mergeCell ref="C78:F78"/>
    <mergeCell ref="C82:F82"/>
    <mergeCell ref="C83:F83"/>
    <mergeCell ref="C93:F93"/>
    <mergeCell ref="C123:F123"/>
    <mergeCell ref="C117:F117"/>
    <mergeCell ref="C118:F118"/>
    <mergeCell ref="C102:F102"/>
    <mergeCell ref="C103:F103"/>
    <mergeCell ref="C107:F107"/>
    <mergeCell ref="C108:F108"/>
    <mergeCell ref="A86:A87"/>
    <mergeCell ref="B105:B108"/>
    <mergeCell ref="A111:A112"/>
    <mergeCell ref="A109:A110"/>
    <mergeCell ref="A84:A85"/>
    <mergeCell ref="G140:G156"/>
    <mergeCell ref="A136:A137"/>
    <mergeCell ref="C132:F132"/>
    <mergeCell ref="C133:F133"/>
    <mergeCell ref="C127:F127"/>
    <mergeCell ref="C128:F128"/>
    <mergeCell ref="C152:F152"/>
    <mergeCell ref="B155:B158"/>
    <mergeCell ref="B130:B133"/>
    <mergeCell ref="B125:B128"/>
    <mergeCell ref="G115:G133"/>
    <mergeCell ref="C122:F122"/>
    <mergeCell ref="A134:A135"/>
    <mergeCell ref="A140:A153"/>
    <mergeCell ref="B145:B148"/>
    <mergeCell ref="B150:B153"/>
    <mergeCell ref="A161:A162"/>
    <mergeCell ref="C157:F157"/>
    <mergeCell ref="C158:F158"/>
    <mergeCell ref="A159:A160"/>
    <mergeCell ref="C143:F143"/>
    <mergeCell ref="C148:F148"/>
    <mergeCell ref="C153:F153"/>
    <mergeCell ref="A61:A62"/>
    <mergeCell ref="B25:B28"/>
    <mergeCell ref="C48:F48"/>
    <mergeCell ref="C42:F42"/>
    <mergeCell ref="C47:F47"/>
    <mergeCell ref="C52:F52"/>
    <mergeCell ref="C57:F57"/>
    <mergeCell ref="C58:F58"/>
    <mergeCell ref="D28:F28"/>
    <mergeCell ref="A29:A30"/>
    <mergeCell ref="A31:A32"/>
    <mergeCell ref="C37:F37"/>
    <mergeCell ref="A59:A60"/>
    <mergeCell ref="D27:F27"/>
    <mergeCell ref="G90:G106"/>
    <mergeCell ref="C98:F98"/>
    <mergeCell ref="B2:G2"/>
    <mergeCell ref="G3:G12"/>
    <mergeCell ref="C43:F43"/>
    <mergeCell ref="C38:F38"/>
    <mergeCell ref="D31:G32"/>
    <mergeCell ref="C53:F53"/>
    <mergeCell ref="B4:B7"/>
    <mergeCell ref="B9:B12"/>
    <mergeCell ref="B20:B23"/>
    <mergeCell ref="B80:B83"/>
    <mergeCell ref="G15:G26"/>
    <mergeCell ref="C67:F67"/>
    <mergeCell ref="C68:F68"/>
    <mergeCell ref="G65:G81"/>
  </mergeCells>
  <phoneticPr fontId="0" type="noConversion"/>
  <dataValidations count="1">
    <dataValidation type="list" allowBlank="1" showInputMessage="1" showErrorMessage="1" sqref="G28 G53 G158 G133 G108 G83">
      <formula1>Risk_Rating</formula1>
    </dataValidation>
  </dataValidations>
  <pageMargins left="0.75" right="0.75" top="0.71" bottom="1" header="0.5" footer="0.5"/>
  <pageSetup paperSize="9" scale="36" fitToHeight="2" orientation="landscape" r:id="rId1"/>
  <headerFooter alignWithMargins="0">
    <oddFooter>&amp;LUpdated January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0"/>
  <sheetViews>
    <sheetView workbookViewId="0">
      <selection activeCell="F12" sqref="F12"/>
    </sheetView>
  </sheetViews>
  <sheetFormatPr defaultColWidth="9.140625" defaultRowHeight="12.75" x14ac:dyDescent="0.2"/>
  <cols>
    <col min="1" max="1" width="13.5703125" style="4" customWidth="1"/>
    <col min="2" max="2" width="3.7109375" style="4" customWidth="1"/>
    <col min="3" max="3" width="20.28515625" style="7" customWidth="1"/>
    <col min="4" max="4" width="19.28515625" style="7" customWidth="1"/>
    <col min="5" max="5" width="7" style="4" customWidth="1"/>
    <col min="6" max="6" width="20" style="4" customWidth="1"/>
    <col min="7" max="7" width="7.42578125" style="4" customWidth="1"/>
    <col min="8" max="8" width="22.7109375" style="4" customWidth="1"/>
    <col min="9" max="16384" width="9.140625" style="4"/>
  </cols>
  <sheetData>
    <row r="1" spans="1:8" x14ac:dyDescent="0.2">
      <c r="C1" s="5"/>
      <c r="D1" s="5"/>
      <c r="E1" s="6"/>
      <c r="F1" s="6"/>
      <c r="G1" s="6"/>
      <c r="H1" s="6"/>
    </row>
    <row r="2" spans="1:8" ht="15.75" x14ac:dyDescent="0.25">
      <c r="C2" s="351" t="str">
        <f>PROJECT_NAME</f>
        <v>Support to UNICEF for Syria Crisis</v>
      </c>
      <c r="D2" s="351"/>
      <c r="E2" s="351"/>
      <c r="F2" s="351"/>
      <c r="G2" s="351"/>
      <c r="H2" s="351"/>
    </row>
    <row r="4" spans="1:8" ht="43.5" customHeight="1" x14ac:dyDescent="0.2">
      <c r="B4" s="353" t="s">
        <v>25</v>
      </c>
      <c r="C4" s="353"/>
      <c r="D4" s="204" t="s">
        <v>272</v>
      </c>
      <c r="E4" s="19"/>
      <c r="F4" s="20" t="s">
        <v>5</v>
      </c>
      <c r="G4" s="19"/>
      <c r="H4" s="20" t="s">
        <v>1</v>
      </c>
    </row>
    <row r="5" spans="1:8" s="25" customFormat="1" ht="39.75" customHeight="1" x14ac:dyDescent="0.2">
      <c r="B5" s="17">
        <v>1</v>
      </c>
      <c r="C5" s="206" t="s">
        <v>267</v>
      </c>
      <c r="D5" s="18">
        <f>IMPACT_WEIGHTING_OUTPUT_1</f>
        <v>0.45</v>
      </c>
      <c r="E5" s="24"/>
      <c r="F5" s="352" t="str">
        <f>OUTCOME</f>
        <v>Critical humanitarian needs alleviated amongst conflict affected persons</v>
      </c>
      <c r="G5" s="24"/>
      <c r="H5" s="352" t="str">
        <f>IMPACT</f>
        <v>Lives saved, suffering reduced, dignity maintained and resilience promoted</v>
      </c>
    </row>
    <row r="6" spans="1:8" s="25" customFormat="1" ht="44.25" customHeight="1" x14ac:dyDescent="0.2">
      <c r="B6" s="17">
        <v>2</v>
      </c>
      <c r="C6" s="206" t="s">
        <v>268</v>
      </c>
      <c r="D6" s="18">
        <f>IMPACT_WEIGHTING_2</f>
        <v>0.3</v>
      </c>
      <c r="E6" s="24"/>
      <c r="F6" s="352"/>
      <c r="G6" s="24"/>
      <c r="H6" s="352"/>
    </row>
    <row r="7" spans="1:8" s="24" customFormat="1" ht="51" customHeight="1" x14ac:dyDescent="0.2">
      <c r="A7" s="9"/>
      <c r="B7" s="17">
        <v>3</v>
      </c>
      <c r="C7" s="206" t="s">
        <v>269</v>
      </c>
      <c r="D7" s="18">
        <f>IMPACT_WEIGHTING_3</f>
        <v>0.25</v>
      </c>
      <c r="F7" s="352"/>
      <c r="H7" s="352"/>
    </row>
    <row r="8" spans="1:8" s="24" customFormat="1" ht="26.25" hidden="1" customHeight="1" x14ac:dyDescent="0.2">
      <c r="A8" s="9"/>
      <c r="B8" s="31">
        <v>4</v>
      </c>
      <c r="C8" s="205">
        <f>OUTPUT_4</f>
        <v>0</v>
      </c>
      <c r="D8" s="30">
        <f>IMPACT_WEIGHTING_4</f>
        <v>0</v>
      </c>
      <c r="F8" s="352"/>
      <c r="H8" s="352"/>
    </row>
    <row r="9" spans="1:8" s="24" customFormat="1" ht="34.5" hidden="1" customHeight="1" x14ac:dyDescent="0.2">
      <c r="A9" s="9"/>
      <c r="B9" s="21">
        <v>5</v>
      </c>
      <c r="C9" s="21">
        <f>OUTPUT_5</f>
        <v>0</v>
      </c>
      <c r="D9" s="26">
        <f>IMPACT_WEIGHTING_5</f>
        <v>0</v>
      </c>
      <c r="F9" s="352"/>
      <c r="H9" s="352"/>
    </row>
    <row r="10" spans="1:8" s="8" customFormat="1" ht="40.5" customHeight="1" x14ac:dyDescent="0.2">
      <c r="A10" s="349"/>
      <c r="B10" s="15"/>
      <c r="C10" s="13"/>
      <c r="D10" s="109">
        <f>SUM(D5:D9)</f>
        <v>1</v>
      </c>
      <c r="E10" s="10"/>
      <c r="F10" s="11"/>
      <c r="G10" s="10"/>
      <c r="H10" s="12"/>
    </row>
    <row r="11" spans="1:8" s="8" customFormat="1" ht="13.5" customHeight="1" x14ac:dyDescent="0.2">
      <c r="A11" s="350"/>
      <c r="B11" s="16"/>
      <c r="C11" s="12"/>
      <c r="D11" s="12"/>
      <c r="F11" s="12"/>
      <c r="H11" s="348"/>
    </row>
    <row r="12" spans="1:8" s="8" customFormat="1" ht="97.5" customHeight="1" x14ac:dyDescent="0.2">
      <c r="A12" s="350"/>
      <c r="B12" s="16"/>
      <c r="C12" s="12"/>
      <c r="D12" s="12"/>
      <c r="F12" s="12"/>
      <c r="H12" s="348"/>
    </row>
    <row r="13" spans="1:8" s="8" customFormat="1" ht="165.75" customHeight="1" x14ac:dyDescent="0.2">
      <c r="C13" s="14"/>
      <c r="D13" s="14"/>
    </row>
    <row r="14" spans="1:8" s="8" customFormat="1" ht="13.5" customHeight="1" x14ac:dyDescent="0.2">
      <c r="C14" s="14"/>
      <c r="D14" s="14"/>
    </row>
    <row r="15" spans="1:8" s="8" customFormat="1" ht="13.5" customHeight="1" x14ac:dyDescent="0.2">
      <c r="C15" s="14"/>
      <c r="D15" s="14"/>
    </row>
    <row r="16" spans="1:8" s="8" customFormat="1" ht="89.25" customHeight="1" x14ac:dyDescent="0.2">
      <c r="C16" s="14"/>
      <c r="D16" s="14"/>
    </row>
    <row r="17" spans="3:4" s="8" customFormat="1" ht="13.5" customHeight="1" x14ac:dyDescent="0.2">
      <c r="C17" s="14"/>
      <c r="D17" s="14"/>
    </row>
    <row r="18" spans="3:4" s="8" customFormat="1" ht="13.5" customHeight="1" x14ac:dyDescent="0.2">
      <c r="C18" s="14"/>
      <c r="D18" s="14"/>
    </row>
    <row r="19" spans="3:4" s="8" customFormat="1" ht="102" customHeight="1" x14ac:dyDescent="0.2">
      <c r="C19" s="14"/>
      <c r="D19" s="14"/>
    </row>
    <row r="20" spans="3:4" s="8" customFormat="1" ht="13.5" customHeight="1" x14ac:dyDescent="0.2">
      <c r="C20" s="14"/>
      <c r="D20" s="14"/>
    </row>
  </sheetData>
  <mergeCells count="6">
    <mergeCell ref="H11:H12"/>
    <mergeCell ref="A10:A12"/>
    <mergeCell ref="C2:H2"/>
    <mergeCell ref="H5:H9"/>
    <mergeCell ref="F5:F9"/>
    <mergeCell ref="B4:C4"/>
  </mergeCells>
  <phoneticPr fontId="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G42" sqref="G42"/>
    </sheetView>
  </sheetViews>
  <sheetFormatPr defaultRowHeight="12.75" outlineLevelRow="1" outlineLevelCol="1" x14ac:dyDescent="0.2"/>
  <cols>
    <col min="2" max="2" width="24.5703125" customWidth="1"/>
    <col min="3" max="3" width="1" customWidth="1"/>
    <col min="4" max="4" width="25.42578125" customWidth="1"/>
    <col min="5" max="5" width="14.85546875" customWidth="1"/>
    <col min="6" max="6" width="1.140625" customWidth="1"/>
    <col min="7" max="7" width="14.28515625" customWidth="1" outlineLevel="1"/>
    <col min="8" max="8" width="41.42578125" customWidth="1"/>
    <col min="9" max="9" width="1" customWidth="1"/>
    <col min="10" max="10" width="13.140625" hidden="1" customWidth="1"/>
    <col min="11" max="11" width="16.42578125" customWidth="1"/>
  </cols>
  <sheetData>
    <row r="1" spans="1:11" ht="20.25" x14ac:dyDescent="0.2">
      <c r="A1" s="199"/>
      <c r="B1" s="1"/>
      <c r="C1" s="199"/>
      <c r="D1" s="220"/>
      <c r="E1" s="220"/>
      <c r="F1" s="220"/>
      <c r="G1" s="220"/>
      <c r="H1" s="220"/>
      <c r="I1" s="220"/>
      <c r="J1" s="220"/>
      <c r="K1" s="220"/>
    </row>
    <row r="2" spans="1:11" ht="15.75" x14ac:dyDescent="0.2">
      <c r="A2" s="199"/>
      <c r="B2" s="359" t="s">
        <v>27</v>
      </c>
      <c r="C2" s="359"/>
      <c r="D2" s="359"/>
      <c r="E2" s="218" t="s">
        <v>273</v>
      </c>
      <c r="F2" s="64"/>
      <c r="G2" s="218" t="s">
        <v>294</v>
      </c>
      <c r="H2" s="218" t="s">
        <v>295</v>
      </c>
      <c r="I2" s="64"/>
      <c r="J2" s="360" t="str">
        <f>Logframe!D3</f>
        <v>Baseline 2015</v>
      </c>
      <c r="K2" s="360" t="str">
        <f>Logframe!F3</f>
        <v>Target 2015</v>
      </c>
    </row>
    <row r="3" spans="1:11" ht="15.75" x14ac:dyDescent="0.2">
      <c r="A3" s="199"/>
      <c r="B3" s="217"/>
      <c r="C3" s="217"/>
      <c r="D3" s="218"/>
      <c r="E3" s="218"/>
      <c r="F3" s="64"/>
      <c r="G3" s="64"/>
      <c r="H3" s="218"/>
      <c r="I3" s="64"/>
      <c r="J3" s="360"/>
      <c r="K3" s="360"/>
    </row>
    <row r="4" spans="1:11" ht="61.5" hidden="1" customHeight="1" outlineLevel="1" x14ac:dyDescent="0.2">
      <c r="A4" s="199"/>
      <c r="B4" s="361" t="s">
        <v>1</v>
      </c>
      <c r="C4" s="199"/>
      <c r="D4" s="352" t="str">
        <f>IMPACT</f>
        <v>Lives saved, suffering reduced, dignity maintained and resilience promoted</v>
      </c>
      <c r="E4" s="352"/>
      <c r="F4" s="215"/>
      <c r="G4" s="215"/>
      <c r="H4" s="216" t="str">
        <f>Impact_Indicator_1</f>
        <v>N/A as one year humanitarian programme</v>
      </c>
      <c r="I4" s="215"/>
      <c r="J4" s="27">
        <f>Impact_1_Baseline_Yr0</f>
        <v>0</v>
      </c>
      <c r="K4" s="27">
        <f>Impact_1_Planned_Yr2</f>
        <v>0</v>
      </c>
    </row>
    <row r="5" spans="1:11" hidden="1" outlineLevel="1" x14ac:dyDescent="0.2">
      <c r="A5" s="199"/>
      <c r="B5" s="361"/>
      <c r="C5" s="199"/>
      <c r="D5" s="352"/>
      <c r="E5" s="352"/>
      <c r="F5" s="215"/>
      <c r="G5" s="215"/>
      <c r="H5" s="216">
        <f>Impact_Indicator_2</f>
        <v>0</v>
      </c>
      <c r="I5" s="215"/>
      <c r="J5" s="27">
        <f>Impact_2_Baseline_Yr0</f>
        <v>0</v>
      </c>
      <c r="K5" s="27">
        <f>Impact_2_Planned_Yr2</f>
        <v>0</v>
      </c>
    </row>
    <row r="6" spans="1:11" ht="6.75" hidden="1" customHeight="1" outlineLevel="1" x14ac:dyDescent="0.2">
      <c r="A6" s="199"/>
      <c r="B6" s="2"/>
      <c r="C6" s="199"/>
      <c r="D6" s="215"/>
      <c r="E6" s="215"/>
      <c r="F6" s="215"/>
      <c r="G6" s="215"/>
      <c r="H6" s="215"/>
      <c r="I6" s="215"/>
      <c r="J6" s="29"/>
      <c r="K6" s="29"/>
    </row>
    <row r="7" spans="1:11" ht="38.25" hidden="1" outlineLevel="1" x14ac:dyDescent="0.2">
      <c r="A7" s="199"/>
      <c r="B7" s="355" t="s">
        <v>5</v>
      </c>
      <c r="C7" s="199"/>
      <c r="D7" s="352" t="str">
        <f>OUTCOME</f>
        <v>Critical humanitarian needs alleviated amongst conflict affected persons</v>
      </c>
      <c r="E7" s="352"/>
      <c r="F7" s="215"/>
      <c r="G7" s="215"/>
      <c r="H7" s="216" t="str">
        <f>Outcome_Indicator_1</f>
        <v xml:space="preserve">Extent to which UNICEF has adopted a whole of Syria approach measured on scale of 0 to 25 
</v>
      </c>
      <c r="I7" s="215"/>
      <c r="J7" s="28" t="str">
        <f>Outcome_1_Baseline_Yr0</f>
        <v>tbc</v>
      </c>
      <c r="K7" s="27" t="str">
        <f>Outcome_1_Planned_Yr2</f>
        <v>tbc</v>
      </c>
    </row>
    <row r="8" spans="1:11" ht="38.25" hidden="1" outlineLevel="1" x14ac:dyDescent="0.2">
      <c r="A8" s="199"/>
      <c r="B8" s="355"/>
      <c r="C8" s="199"/>
      <c r="D8" s="352"/>
      <c r="E8" s="352"/>
      <c r="F8" s="215"/>
      <c r="G8" s="215"/>
      <c r="H8" s="205" t="str">
        <f>Outcome_Indicator_2</f>
        <v xml:space="preserve">
CHASE Annual Review score on reform priorities</v>
      </c>
      <c r="I8" s="215"/>
      <c r="J8" s="28" t="str">
        <f>Outcome_2_Baseline_Yr0</f>
        <v>N/A</v>
      </c>
      <c r="K8" s="27" t="str">
        <f>Outcome_2_Planned_Yr2</f>
        <v>A</v>
      </c>
    </row>
    <row r="9" spans="1:11" hidden="1" outlineLevel="1" x14ac:dyDescent="0.2">
      <c r="A9" s="199"/>
      <c r="B9" s="355"/>
      <c r="C9" s="199"/>
      <c r="D9" s="352"/>
      <c r="E9" s="352"/>
      <c r="F9" s="215"/>
      <c r="G9" s="215"/>
      <c r="H9" s="216">
        <f>Outcome_Indicator_3</f>
        <v>0</v>
      </c>
      <c r="I9" s="215"/>
      <c r="J9" s="28">
        <f>Outcome_3_Baseline_Yr0</f>
        <v>0</v>
      </c>
      <c r="K9" s="28">
        <f>Outcome_3_Planned_Yr2</f>
        <v>0</v>
      </c>
    </row>
    <row r="10" spans="1:11" ht="5.25" hidden="1" customHeight="1" outlineLevel="1" x14ac:dyDescent="0.2">
      <c r="A10" s="199"/>
      <c r="B10" s="3"/>
      <c r="C10" s="199"/>
      <c r="D10" s="215"/>
      <c r="E10" s="221"/>
      <c r="F10" s="215"/>
      <c r="G10" s="215"/>
      <c r="H10" s="215"/>
      <c r="I10" s="215"/>
      <c r="J10" s="215"/>
      <c r="K10" s="215"/>
    </row>
    <row r="11" spans="1:11" ht="49.5" customHeight="1" collapsed="1" x14ac:dyDescent="0.2">
      <c r="A11" s="199"/>
      <c r="B11" s="355" t="s">
        <v>25</v>
      </c>
      <c r="C11" s="199"/>
      <c r="D11" s="358" t="str">
        <f>OUTPUT_1</f>
        <v>Emergency assistance in WASH, Health, Nutrition, Education, Protection and Basic Needs provided within Syria</v>
      </c>
      <c r="E11" s="356">
        <f>IMPACT_WEIGHTING_1</f>
        <v>0.45</v>
      </c>
      <c r="F11" s="215"/>
      <c r="G11" s="354" t="s">
        <v>291</v>
      </c>
      <c r="H11" s="216" t="str">
        <f>Output_Indicator_1.1</f>
        <v xml:space="preserve">Food:-Number of supplementary food interventions (packages, hot meals, vouchers, cash) provided to individuals. </v>
      </c>
      <c r="I11" s="215"/>
      <c r="J11" s="200">
        <f>Output_1.1_Baseline_Yr0</f>
        <v>0</v>
      </c>
      <c r="K11" s="200">
        <f>Output_1.1_Planned_Yr2</f>
        <v>111280</v>
      </c>
    </row>
    <row r="12" spans="1:11" ht="25.5" x14ac:dyDescent="0.2">
      <c r="A12" s="199"/>
      <c r="B12" s="355"/>
      <c r="C12" s="199"/>
      <c r="D12" s="358"/>
      <c r="E12" s="356"/>
      <c r="F12" s="215"/>
      <c r="G12" s="354"/>
      <c r="H12" s="216" t="str">
        <f>Output_Indicator_1.2</f>
        <v>WASH -  Number of beneficiaries provided with drinking water</v>
      </c>
      <c r="I12" s="215"/>
      <c r="J12" s="200">
        <f>Output_1.2_Baseline_Yr0</f>
        <v>0</v>
      </c>
      <c r="K12" s="200">
        <f>Output_1.2_Planned_Yr2</f>
        <v>1320000</v>
      </c>
    </row>
    <row r="13" spans="1:11" ht="12.75" hidden="1" customHeight="1" outlineLevel="1" x14ac:dyDescent="0.2">
      <c r="A13" s="199"/>
      <c r="B13" s="355"/>
      <c r="C13" s="199"/>
      <c r="D13" s="358"/>
      <c r="E13" s="356"/>
      <c r="F13" s="215"/>
      <c r="G13" s="354"/>
      <c r="H13" s="216" t="str">
        <f>Output_Indicator_1.3</f>
        <v>Health - Number of vaccinations provided</v>
      </c>
      <c r="I13" s="215"/>
      <c r="J13" s="200">
        <f>Output_1.3_Baseline_Yr0</f>
        <v>0</v>
      </c>
      <c r="K13" s="200">
        <f>Output_1.3_Planned_Yr2</f>
        <v>448000</v>
      </c>
    </row>
    <row r="14" spans="1:11" ht="38.25" hidden="1" customHeight="1" outlineLevel="1" x14ac:dyDescent="0.2">
      <c r="A14" s="199"/>
      <c r="B14" s="355"/>
      <c r="C14" s="199"/>
      <c r="D14" s="358"/>
      <c r="E14" s="356"/>
      <c r="F14" s="215"/>
      <c r="G14" s="354"/>
      <c r="H14" s="216" t="str">
        <f>Output_Indicator_1.4</f>
        <v>Protection - Number of child visits (daily sign-ins) to child/adolescent friendly spaces</v>
      </c>
      <c r="I14" s="215"/>
      <c r="J14" s="216">
        <f>Output_1.4_Baseline_Yr0</f>
        <v>0</v>
      </c>
      <c r="K14" s="216">
        <f>Output_1.4_Planned_Yr2</f>
        <v>30800</v>
      </c>
    </row>
    <row r="15" spans="1:11" ht="36.75" customHeight="1" collapsed="1" x14ac:dyDescent="0.2">
      <c r="A15" s="199"/>
      <c r="B15" s="355"/>
      <c r="C15" s="199"/>
      <c r="D15" s="358"/>
      <c r="E15" s="356"/>
      <c r="F15" s="215"/>
      <c r="G15" s="354"/>
      <c r="H15" s="216" t="str">
        <f>Logframe!B55</f>
        <v>Education - Number of pupils provided with access to non-formal education</v>
      </c>
      <c r="I15" s="215"/>
      <c r="J15" s="216"/>
      <c r="K15" s="200">
        <f>Logframe!$F$55</f>
        <v>128000</v>
      </c>
    </row>
    <row r="16" spans="1:11" ht="5.25" customHeight="1" x14ac:dyDescent="0.2">
      <c r="A16" s="199"/>
      <c r="B16" s="355"/>
      <c r="C16" s="199"/>
      <c r="D16" s="58"/>
      <c r="E16" s="223"/>
      <c r="F16" s="215"/>
      <c r="G16" s="215"/>
      <c r="H16" s="215"/>
      <c r="I16" s="215"/>
      <c r="J16" s="215"/>
      <c r="K16" s="215"/>
    </row>
    <row r="17" spans="1:11" ht="25.5" customHeight="1" x14ac:dyDescent="0.2">
      <c r="A17" s="199"/>
      <c r="B17" s="355"/>
      <c r="C17" s="199"/>
      <c r="D17" s="358" t="str">
        <f>OUTPUT_2</f>
        <v>Emergency assistance in WASH, Health, Nutrition, Education, Protection and Basic Needs provided within Lebanon</v>
      </c>
      <c r="E17" s="356">
        <f>IMPACT_WEIGHTING_2</f>
        <v>0.3</v>
      </c>
      <c r="F17" s="215"/>
      <c r="G17" s="354" t="s">
        <v>292</v>
      </c>
      <c r="H17" s="216" t="str">
        <f>Logframe!$B$65</f>
        <v>WASH -  Number of beneficiaries provided with drinking water</v>
      </c>
      <c r="I17" s="215"/>
      <c r="J17" s="200">
        <f>Output_2.1_Baseline_Yr0</f>
        <v>0</v>
      </c>
      <c r="K17" s="200">
        <f>Output_2.1_Planned_Yr2</f>
        <v>17168</v>
      </c>
    </row>
    <row r="18" spans="1:11" ht="34.5" customHeight="1" x14ac:dyDescent="0.2">
      <c r="A18" s="199"/>
      <c r="B18" s="355"/>
      <c r="C18" s="199"/>
      <c r="D18" s="358"/>
      <c r="E18" s="356"/>
      <c r="F18" s="215"/>
      <c r="G18" s="354"/>
      <c r="H18" s="216" t="str">
        <f>Logframe!$B$70</f>
        <v>Education - Number of beneficiaries of teaching and learning materials provided</v>
      </c>
      <c r="I18" s="215"/>
      <c r="J18" s="200">
        <f>Output_2.2_Baseline_Yr0</f>
        <v>0</v>
      </c>
      <c r="K18" s="200">
        <f>Output_2.2_Planned_Yr2</f>
        <v>8410</v>
      </c>
    </row>
    <row r="19" spans="1:11" ht="25.5" x14ac:dyDescent="0.2">
      <c r="A19" s="199"/>
      <c r="B19" s="355"/>
      <c r="C19" s="199"/>
      <c r="D19" s="358"/>
      <c r="E19" s="356"/>
      <c r="F19" s="215"/>
      <c r="G19" s="354"/>
      <c r="H19" s="216" t="str">
        <f>Output_Indicator_2.3</f>
        <v>Protection - Number of child visits (daily sign-ins) to child/adolescent friendly spaces</v>
      </c>
      <c r="I19" s="215"/>
      <c r="J19" s="200">
        <f>Output_2.3_Baseline_Yr0</f>
        <v>0</v>
      </c>
      <c r="K19" s="200">
        <f>Output_2.3_Planned_Yr2</f>
        <v>5510</v>
      </c>
    </row>
    <row r="20" spans="1:11" hidden="1" x14ac:dyDescent="0.2">
      <c r="A20" s="199"/>
      <c r="B20" s="355"/>
      <c r="C20" s="199"/>
      <c r="D20" s="358"/>
      <c r="E20" s="356"/>
      <c r="F20" s="215"/>
      <c r="G20" s="215"/>
      <c r="H20" s="216">
        <f>Output_Indicator_2.4</f>
        <v>0</v>
      </c>
      <c r="I20" s="215"/>
      <c r="J20" s="200">
        <f>Output_2.4_Baseline_Yr0</f>
        <v>0</v>
      </c>
      <c r="K20" s="200">
        <f>Output_2.4_Planned_Yr2</f>
        <v>0</v>
      </c>
    </row>
    <row r="21" spans="1:11" hidden="1" x14ac:dyDescent="0.2">
      <c r="A21" s="199"/>
      <c r="B21" s="355"/>
      <c r="C21" s="199"/>
      <c r="D21" s="358"/>
      <c r="E21" s="356"/>
      <c r="F21" s="215"/>
      <c r="G21" s="215"/>
      <c r="H21" s="216"/>
      <c r="I21" s="215"/>
      <c r="J21" s="200"/>
      <c r="K21" s="200"/>
    </row>
    <row r="22" spans="1:11" ht="6" customHeight="1" x14ac:dyDescent="0.2">
      <c r="A22" s="199"/>
      <c r="B22" s="355"/>
      <c r="C22" s="199"/>
      <c r="D22" s="215"/>
      <c r="E22" s="221"/>
      <c r="F22" s="215"/>
      <c r="G22" s="215"/>
      <c r="H22" s="215"/>
      <c r="I22" s="215"/>
      <c r="J22" s="215"/>
      <c r="K22" s="215"/>
    </row>
    <row r="23" spans="1:11" ht="31.5" customHeight="1" x14ac:dyDescent="0.2">
      <c r="A23" s="199"/>
      <c r="B23" s="355"/>
      <c r="C23" s="199"/>
      <c r="D23" s="352" t="str">
        <f>OUTPUT_3</f>
        <v>Emergency assistance in WASH, Health, Nutrition, Education, Protection and Basic Needs provided within Jordan</v>
      </c>
      <c r="E23" s="356">
        <f>IMPACT_WEIGHTING_3</f>
        <v>0.25</v>
      </c>
      <c r="F23" s="215"/>
      <c r="G23" s="354" t="s">
        <v>293</v>
      </c>
      <c r="H23" s="216" t="str">
        <f>Output_Indicator_3.1</f>
        <v>WASH - Number of beneficiaries provided with drinking water</v>
      </c>
      <c r="I23" s="215"/>
      <c r="J23" s="200">
        <f>Output_3.1_Baseline_Yr0</f>
        <v>0</v>
      </c>
      <c r="K23" s="200">
        <f>Output_3.1_Planned_Yr2</f>
        <v>115313</v>
      </c>
    </row>
    <row r="24" spans="1:11" ht="34.5" hidden="1" customHeight="1" outlineLevel="1" x14ac:dyDescent="0.2">
      <c r="A24" s="199"/>
      <c r="B24" s="355"/>
      <c r="C24" s="199"/>
      <c r="D24" s="352"/>
      <c r="E24" s="356"/>
      <c r="F24" s="215"/>
      <c r="G24" s="354"/>
      <c r="H24" s="216" t="str">
        <f>Output_Indicator_3.2</f>
        <v>Education - Number of beneficiaries of teaching and learning materials provided</v>
      </c>
      <c r="I24" s="215"/>
      <c r="J24" s="200">
        <f>Output_3.2_Baseline_Yr0</f>
        <v>0</v>
      </c>
      <c r="K24" s="200">
        <f>Output_3.2_Planned_Yr2</f>
        <v>714</v>
      </c>
    </row>
    <row r="25" spans="1:11" ht="39.75" customHeight="1" collapsed="1" x14ac:dyDescent="0.2">
      <c r="A25" s="199"/>
      <c r="B25" s="355"/>
      <c r="C25" s="199"/>
      <c r="D25" s="352"/>
      <c r="E25" s="356"/>
      <c r="F25" s="215"/>
      <c r="G25" s="354"/>
      <c r="H25" s="216" t="str">
        <f>Output_Indicator_3.3</f>
        <v>Protection - Number of child visits (daily sign-ins) to child/adolescent friendly spaces</v>
      </c>
      <c r="I25" s="215"/>
      <c r="J25" s="200">
        <f>Output_3.3_Baseline_Yr0</f>
        <v>0</v>
      </c>
      <c r="K25" s="200">
        <f>Output_3.3_Planned_Yr2</f>
        <v>12078</v>
      </c>
    </row>
    <row r="26" spans="1:11" hidden="1" x14ac:dyDescent="0.2">
      <c r="A26" s="199"/>
      <c r="B26" s="355"/>
      <c r="C26" s="199"/>
      <c r="D26" s="352"/>
      <c r="E26" s="356"/>
      <c r="F26" s="215"/>
      <c r="G26" s="215"/>
      <c r="H26" s="216">
        <f>Output_Indicator_3.4</f>
        <v>0</v>
      </c>
      <c r="I26" s="215"/>
      <c r="J26" s="200">
        <f>Output_3.4_Baseline_Yr0</f>
        <v>0</v>
      </c>
      <c r="K26" s="216">
        <f>Output_3.4_Planned_Yr2</f>
        <v>0</v>
      </c>
    </row>
    <row r="27" spans="1:11" hidden="1" x14ac:dyDescent="0.2">
      <c r="A27" s="199"/>
      <c r="B27" s="355"/>
      <c r="C27" s="199"/>
      <c r="D27" s="216"/>
      <c r="E27" s="222"/>
      <c r="F27" s="215"/>
      <c r="G27" s="215"/>
      <c r="H27" s="216"/>
      <c r="I27" s="215"/>
      <c r="J27" s="200"/>
      <c r="K27" s="200"/>
    </row>
    <row r="28" spans="1:11" hidden="1" x14ac:dyDescent="0.2">
      <c r="A28" s="199"/>
      <c r="B28" s="355"/>
      <c r="C28" s="199"/>
      <c r="D28" s="215"/>
      <c r="E28" s="215"/>
      <c r="F28" s="215"/>
      <c r="G28" s="215"/>
      <c r="H28" s="215"/>
      <c r="I28" s="215"/>
      <c r="J28" s="215"/>
      <c r="K28" s="215"/>
    </row>
    <row r="29" spans="1:11" hidden="1" x14ac:dyDescent="0.2">
      <c r="A29" s="199"/>
      <c r="B29" s="355"/>
      <c r="C29" s="199"/>
      <c r="D29" s="352">
        <f>OUTPUT_4</f>
        <v>0</v>
      </c>
      <c r="E29" s="357">
        <f>IMPACT_WEIGHTING_4</f>
        <v>0</v>
      </c>
      <c r="F29" s="215"/>
      <c r="G29" s="215"/>
      <c r="H29" s="216"/>
      <c r="I29" s="215"/>
      <c r="J29" s="200">
        <f>Output_4.1_Baseline_Yr0</f>
        <v>0</v>
      </c>
      <c r="K29" s="200">
        <f>Output_4.1_Planned_Yr2</f>
        <v>0</v>
      </c>
    </row>
    <row r="30" spans="1:11" ht="51" hidden="1" x14ac:dyDescent="0.2">
      <c r="A30" s="199"/>
      <c r="B30" s="355"/>
      <c r="C30" s="199"/>
      <c r="D30" s="352"/>
      <c r="E30" s="357"/>
      <c r="F30" s="215"/>
      <c r="G30" s="215"/>
      <c r="H30" s="216" t="str">
        <f>Output_Indicator_4.2</f>
        <v xml:space="preserve">
</v>
      </c>
      <c r="I30" s="215"/>
      <c r="J30" s="200">
        <f>Output_4.2_Baseline_Yr0</f>
        <v>0</v>
      </c>
      <c r="K30" s="200">
        <f>Output_4.2_Planned_Yr2</f>
        <v>0</v>
      </c>
    </row>
    <row r="31" spans="1:11" hidden="1" x14ac:dyDescent="0.2">
      <c r="A31" s="199"/>
      <c r="B31" s="355"/>
      <c r="C31" s="199"/>
      <c r="D31" s="352"/>
      <c r="E31" s="357"/>
      <c r="F31" s="215"/>
      <c r="G31" s="215"/>
      <c r="H31" s="216">
        <f>Output_Indicator_4.3</f>
        <v>0</v>
      </c>
      <c r="I31" s="215"/>
      <c r="J31" s="200">
        <f>Output_4.3_Baseline_Yr0</f>
        <v>0</v>
      </c>
      <c r="K31" s="200">
        <f>Output_4.3_Planned_Yr2</f>
        <v>0</v>
      </c>
    </row>
    <row r="32" spans="1:11" hidden="1" x14ac:dyDescent="0.2">
      <c r="A32" s="199"/>
      <c r="B32" s="355"/>
      <c r="C32" s="199"/>
      <c r="D32" s="352"/>
      <c r="E32" s="357"/>
      <c r="F32" s="215"/>
      <c r="G32" s="215"/>
      <c r="H32" s="216">
        <f>Output_Indicator_4.4</f>
        <v>0</v>
      </c>
      <c r="I32" s="215"/>
      <c r="J32" s="200">
        <f>Output_4.4_Baseline_Yr0</f>
        <v>0</v>
      </c>
      <c r="K32" s="216">
        <f>Output_4.4_Planned_Yr2</f>
        <v>0</v>
      </c>
    </row>
    <row r="33" spans="1:11" hidden="1" x14ac:dyDescent="0.2">
      <c r="A33" s="199"/>
      <c r="B33" s="355"/>
      <c r="C33" s="199"/>
      <c r="D33" s="215"/>
      <c r="E33" s="215"/>
      <c r="F33" s="215"/>
      <c r="G33" s="215"/>
      <c r="H33" s="215"/>
      <c r="I33" s="215"/>
      <c r="J33" s="215"/>
      <c r="K33" s="215"/>
    </row>
    <row r="34" spans="1:11" hidden="1" x14ac:dyDescent="0.2">
      <c r="A34" s="199"/>
      <c r="B34" s="355"/>
      <c r="C34" s="199"/>
      <c r="D34" s="352">
        <f>OUTPUT_5</f>
        <v>0</v>
      </c>
      <c r="E34" s="357">
        <f>IMPACT_WEIGHTING_5</f>
        <v>0</v>
      </c>
      <c r="F34" s="215"/>
      <c r="G34" s="215"/>
      <c r="H34" s="216">
        <f>Output_Indicator_5.1</f>
        <v>0</v>
      </c>
      <c r="I34" s="215"/>
      <c r="J34" s="200">
        <f>Output_5.1_Baseline_Yr0</f>
        <v>0</v>
      </c>
      <c r="K34" s="200">
        <f>Output_5.1_Planned_Yr2</f>
        <v>0</v>
      </c>
    </row>
    <row r="35" spans="1:11" hidden="1" x14ac:dyDescent="0.2">
      <c r="A35" s="199"/>
      <c r="B35" s="355"/>
      <c r="C35" s="199"/>
      <c r="D35" s="352"/>
      <c r="E35" s="357"/>
      <c r="F35" s="215"/>
      <c r="G35" s="215"/>
      <c r="H35" s="216">
        <f>Output_Indicator_5.2</f>
        <v>0</v>
      </c>
      <c r="I35" s="215"/>
      <c r="J35" s="200">
        <f>Output_5.2_Baseline_Yr0</f>
        <v>0</v>
      </c>
      <c r="K35" s="200">
        <f>Output_5.2_Planned_Yr2</f>
        <v>0</v>
      </c>
    </row>
    <row r="36" spans="1:11" hidden="1" x14ac:dyDescent="0.2">
      <c r="A36" s="199"/>
      <c r="B36" s="355"/>
      <c r="C36" s="199"/>
      <c r="D36" s="352"/>
      <c r="E36" s="357"/>
      <c r="F36" s="215"/>
      <c r="G36" s="215"/>
      <c r="H36" s="216">
        <f>Output_Indicator_5.3</f>
        <v>0</v>
      </c>
      <c r="I36" s="215"/>
      <c r="J36" s="200">
        <f>Output_5.3_Baseline_Yr0</f>
        <v>0</v>
      </c>
      <c r="K36" s="200">
        <f>Output_5.3_Planned_Yr2</f>
        <v>0</v>
      </c>
    </row>
    <row r="37" spans="1:11" hidden="1" x14ac:dyDescent="0.2">
      <c r="A37" s="199"/>
      <c r="B37" s="355"/>
      <c r="C37" s="199"/>
      <c r="D37" s="352"/>
      <c r="E37" s="357"/>
      <c r="F37" s="215"/>
      <c r="G37" s="215"/>
      <c r="H37" s="216">
        <f>Output_Indicator_5.4</f>
        <v>0</v>
      </c>
      <c r="I37" s="215"/>
      <c r="J37" s="200">
        <f>Output_5.4_Baseline_Yr0</f>
        <v>0</v>
      </c>
      <c r="K37" s="216">
        <f>Output_5.4_Planned_Yr2</f>
        <v>0</v>
      </c>
    </row>
    <row r="38" spans="1:11" ht="20.25" x14ac:dyDescent="0.2">
      <c r="A38" s="199"/>
      <c r="B38" s="1"/>
      <c r="C38" s="199"/>
      <c r="D38" s="220"/>
      <c r="E38" s="220"/>
      <c r="F38" s="220"/>
      <c r="G38" s="220"/>
      <c r="H38" s="220"/>
      <c r="I38" s="220"/>
      <c r="J38" s="220"/>
      <c r="K38" s="220"/>
    </row>
    <row r="39" spans="1:11" ht="20.25" x14ac:dyDescent="0.2">
      <c r="A39" s="219"/>
      <c r="B39" s="219"/>
      <c r="C39" s="219"/>
      <c r="D39" s="57"/>
      <c r="E39" s="57"/>
      <c r="F39" s="57"/>
      <c r="G39" s="57"/>
      <c r="H39" s="57"/>
      <c r="I39" s="57"/>
      <c r="J39" s="57"/>
      <c r="K39" s="57"/>
    </row>
    <row r="40" spans="1:11" ht="20.25" x14ac:dyDescent="0.2">
      <c r="A40" s="219"/>
      <c r="B40" s="219"/>
      <c r="C40" s="219"/>
      <c r="D40" s="57"/>
      <c r="E40" s="57"/>
      <c r="F40" s="57"/>
      <c r="G40" s="57"/>
      <c r="H40" s="57"/>
      <c r="I40" s="57"/>
      <c r="J40" s="57"/>
      <c r="K40" s="57"/>
    </row>
    <row r="41" spans="1:11" ht="20.25" x14ac:dyDescent="0.2">
      <c r="A41" s="219"/>
      <c r="B41" s="219"/>
      <c r="C41" s="219"/>
      <c r="D41" s="57"/>
      <c r="E41" s="57"/>
      <c r="F41" s="57"/>
      <c r="G41" s="57"/>
      <c r="H41" s="57"/>
      <c r="I41" s="57"/>
      <c r="J41" s="57"/>
      <c r="K41" s="57"/>
    </row>
    <row r="42" spans="1:11" ht="20.25" x14ac:dyDescent="0.2">
      <c r="A42" s="219"/>
      <c r="B42" s="219"/>
      <c r="C42" s="219"/>
      <c r="D42" s="57"/>
      <c r="E42" s="57"/>
      <c r="F42" s="57"/>
      <c r="G42" s="57"/>
      <c r="H42" s="57"/>
      <c r="I42" s="57"/>
      <c r="J42" s="57"/>
      <c r="K42" s="57"/>
    </row>
  </sheetData>
  <mergeCells count="21">
    <mergeCell ref="B7:B9"/>
    <mergeCell ref="D7:E9"/>
    <mergeCell ref="B2:D2"/>
    <mergeCell ref="J2:J3"/>
    <mergeCell ref="K2:K3"/>
    <mergeCell ref="B4:B5"/>
    <mergeCell ref="D4:E5"/>
    <mergeCell ref="G11:G15"/>
    <mergeCell ref="G17:G19"/>
    <mergeCell ref="G23:G25"/>
    <mergeCell ref="B11:B37"/>
    <mergeCell ref="D23:D26"/>
    <mergeCell ref="E23:E26"/>
    <mergeCell ref="D29:D32"/>
    <mergeCell ref="E29:E32"/>
    <mergeCell ref="D34:D37"/>
    <mergeCell ref="E34:E37"/>
    <mergeCell ref="D11:D15"/>
    <mergeCell ref="D17:D21"/>
    <mergeCell ref="E11:E15"/>
    <mergeCell ref="E17:E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B1:X54"/>
  <sheetViews>
    <sheetView workbookViewId="0">
      <selection activeCell="B1" sqref="B1:O1"/>
    </sheetView>
  </sheetViews>
  <sheetFormatPr defaultColWidth="9.140625" defaultRowHeight="20.25" outlineLevelRow="2" outlineLevelCol="1" x14ac:dyDescent="0.2"/>
  <cols>
    <col min="1" max="1" width="7.85546875" style="87" customWidth="1"/>
    <col min="2" max="2" width="16" style="69" customWidth="1"/>
    <col min="3" max="3" width="2.140625" style="87" customWidth="1"/>
    <col min="4" max="4" width="19.85546875" style="87" customWidth="1"/>
    <col min="5" max="5" width="12.85546875" style="87" customWidth="1"/>
    <col min="6" max="6" width="2.140625" style="87" customWidth="1"/>
    <col min="7" max="7" width="37.28515625" style="87" customWidth="1"/>
    <col min="8" max="8" width="1.85546875" style="87" customWidth="1"/>
    <col min="9" max="9" width="12" style="87" customWidth="1" outlineLevel="1"/>
    <col min="10" max="10" width="15.5703125" style="87" customWidth="1" outlineLevel="1"/>
    <col min="11" max="11" width="2.42578125" style="87" customWidth="1" outlineLevel="1"/>
    <col min="12" max="13" width="9.140625" style="87" customWidth="1" outlineLevel="1"/>
    <col min="14" max="14" width="1" style="87" customWidth="1" outlineLevel="1"/>
    <col min="15" max="15" width="10" style="87" customWidth="1" outlineLevel="1"/>
    <col min="16" max="16" width="1.85546875" style="87" customWidth="1"/>
    <col min="17" max="17" width="12" style="87" customWidth="1" outlineLevel="1"/>
    <col min="18" max="18" width="11.7109375" style="87" customWidth="1" outlineLevel="1"/>
    <col min="19" max="19" width="1.85546875" style="87" customWidth="1" outlineLevel="1"/>
    <col min="20" max="21" width="9.140625" style="87" customWidth="1" outlineLevel="1"/>
    <col min="22" max="22" width="1" style="87" customWidth="1" outlineLevel="1"/>
    <col min="23" max="23" width="10" style="87" customWidth="1" outlineLevel="1"/>
    <col min="24" max="24" width="2" style="87" customWidth="1"/>
    <col min="25" max="16384" width="9.140625" style="87"/>
  </cols>
  <sheetData>
    <row r="1" spans="2:24" x14ac:dyDescent="0.2">
      <c r="B1" s="366" t="str">
        <f>PROJECT_NAME</f>
        <v>Support to UNICEF for Syria Crisis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63"/>
      <c r="Q1" s="63"/>
      <c r="R1" s="63"/>
      <c r="S1" s="63"/>
      <c r="T1" s="63"/>
      <c r="U1" s="63"/>
      <c r="V1" s="63"/>
      <c r="W1" s="63"/>
      <c r="X1" s="63"/>
    </row>
    <row r="3" spans="2:24" ht="15.75" customHeight="1" x14ac:dyDescent="0.2">
      <c r="B3" s="360" t="s">
        <v>27</v>
      </c>
      <c r="C3" s="360"/>
      <c r="D3" s="360"/>
      <c r="E3" s="224" t="s">
        <v>273</v>
      </c>
      <c r="F3" s="64"/>
      <c r="G3" s="85" t="s">
        <v>26</v>
      </c>
      <c r="H3" s="64"/>
      <c r="I3" s="85" t="s">
        <v>2</v>
      </c>
      <c r="J3" s="85" t="s">
        <v>3</v>
      </c>
      <c r="K3" s="64"/>
      <c r="L3" s="85" t="s">
        <v>36</v>
      </c>
      <c r="M3" s="85"/>
      <c r="N3" s="85"/>
      <c r="O3" s="85" t="s">
        <v>55</v>
      </c>
      <c r="P3" s="64"/>
      <c r="Q3" s="85" t="s">
        <v>2</v>
      </c>
      <c r="R3" s="85" t="s">
        <v>3</v>
      </c>
      <c r="S3" s="64"/>
      <c r="T3" s="85" t="s">
        <v>36</v>
      </c>
      <c r="U3" s="85"/>
      <c r="V3" s="85"/>
      <c r="W3" s="85" t="s">
        <v>55</v>
      </c>
      <c r="X3" s="32"/>
    </row>
    <row r="4" spans="2:24" ht="15.75" x14ac:dyDescent="0.2">
      <c r="B4" s="85"/>
      <c r="C4" s="85"/>
      <c r="D4" s="85"/>
      <c r="E4" s="85"/>
      <c r="F4" s="64"/>
      <c r="G4" s="85"/>
      <c r="H4" s="64"/>
      <c r="I4" s="360" t="str">
        <f>Logframe!E3</f>
        <v>June 2015</v>
      </c>
      <c r="J4" s="360"/>
      <c r="K4" s="64"/>
      <c r="L4" s="85" t="str">
        <f>RIGHT(I4,4)</f>
        <v>2015</v>
      </c>
      <c r="M4" s="64"/>
      <c r="N4" s="64"/>
      <c r="O4" s="85" t="str">
        <f>L4</f>
        <v>2015</v>
      </c>
      <c r="P4" s="64"/>
      <c r="Q4" s="360" t="str">
        <f>RIGHT(Logframe!F3,4)</f>
        <v>2015</v>
      </c>
      <c r="R4" s="360"/>
      <c r="S4" s="64"/>
      <c r="T4" s="85" t="str">
        <f>RIGHT(Q4,4)</f>
        <v>2015</v>
      </c>
      <c r="U4" s="64"/>
      <c r="V4" s="64"/>
      <c r="W4" s="85" t="str">
        <f>T4</f>
        <v>2015</v>
      </c>
      <c r="X4" s="32"/>
    </row>
    <row r="5" spans="2:24" ht="4.5" customHeight="1" x14ac:dyDescent="0.2"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</row>
    <row r="6" spans="2:24" ht="72" hidden="1" customHeight="1" outlineLevel="1" x14ac:dyDescent="0.2">
      <c r="B6" s="367" t="s">
        <v>1</v>
      </c>
      <c r="D6" s="352" t="str">
        <f>IMPACT</f>
        <v>Lives saved, suffering reduced, dignity maintained and resilience promoted</v>
      </c>
      <c r="E6" s="352"/>
      <c r="F6" s="84"/>
      <c r="G6" s="28" t="str">
        <f>Impact_Indicator_1</f>
        <v>N/A as one year humanitarian programme</v>
      </c>
      <c r="H6" s="84"/>
      <c r="I6" s="27">
        <f>Impact_1_Planned_Yr1</f>
        <v>0</v>
      </c>
      <c r="J6" s="27">
        <f>Impact_1_Achieved_Yr1</f>
        <v>0</v>
      </c>
      <c r="K6" s="84"/>
      <c r="L6" s="84"/>
      <c r="M6" s="84"/>
      <c r="N6" s="84"/>
      <c r="O6" s="84"/>
      <c r="P6" s="84"/>
      <c r="Q6" s="27">
        <f>Impact_1_Planned_Yr2</f>
        <v>0</v>
      </c>
      <c r="R6" s="27">
        <f>Impact_1_Achieved_Yr2</f>
        <v>0</v>
      </c>
      <c r="S6" s="84"/>
      <c r="T6" s="84"/>
      <c r="U6" s="84"/>
      <c r="V6" s="84"/>
      <c r="W6" s="84"/>
      <c r="X6" s="84"/>
    </row>
    <row r="7" spans="2:24" ht="78.75" hidden="1" customHeight="1" outlineLevel="1" x14ac:dyDescent="0.2">
      <c r="B7" s="367"/>
      <c r="D7" s="352"/>
      <c r="E7" s="352"/>
      <c r="F7" s="84"/>
      <c r="G7" s="28">
        <f>Impact_Indicator_2</f>
        <v>0</v>
      </c>
      <c r="H7" s="84"/>
      <c r="I7" s="27">
        <f>Impact_2_Planned_Yr1</f>
        <v>0</v>
      </c>
      <c r="J7" s="27">
        <f>Impact_2_Achieved_Yr1</f>
        <v>0</v>
      </c>
      <c r="K7" s="84"/>
      <c r="L7" s="84"/>
      <c r="M7" s="84"/>
      <c r="N7" s="84"/>
      <c r="O7" s="84"/>
      <c r="P7" s="84"/>
      <c r="Q7" s="27">
        <f>Impact_2_Planned_Yr2</f>
        <v>0</v>
      </c>
      <c r="R7" s="27">
        <f>Impact_2_Achieved_Yr2</f>
        <v>0</v>
      </c>
      <c r="S7" s="84"/>
      <c r="T7" s="84"/>
      <c r="U7" s="84"/>
      <c r="V7" s="84"/>
      <c r="W7" s="84"/>
      <c r="X7" s="84"/>
    </row>
    <row r="8" spans="2:24" ht="3.75" customHeight="1" collapsed="1" x14ac:dyDescent="0.2">
      <c r="B8" s="70"/>
      <c r="D8" s="84"/>
      <c r="E8" s="84"/>
      <c r="F8" s="84"/>
      <c r="G8" s="29"/>
      <c r="H8" s="84"/>
      <c r="I8" s="29"/>
      <c r="J8" s="29"/>
      <c r="K8" s="84"/>
      <c r="L8" s="84"/>
      <c r="M8" s="84"/>
      <c r="N8" s="84"/>
      <c r="O8" s="84"/>
      <c r="P8" s="84"/>
      <c r="Q8" s="29"/>
      <c r="R8" s="29"/>
      <c r="S8" s="84"/>
      <c r="T8" s="84"/>
      <c r="U8" s="84"/>
      <c r="V8" s="84"/>
      <c r="W8" s="84"/>
      <c r="X8" s="84"/>
    </row>
    <row r="9" spans="2:24" ht="62.45" customHeight="1" outlineLevel="1" x14ac:dyDescent="0.2">
      <c r="B9" s="365" t="s">
        <v>5</v>
      </c>
      <c r="D9" s="352" t="str">
        <f>OUTCOME</f>
        <v>Critical humanitarian needs alleviated amongst conflict affected persons</v>
      </c>
      <c r="E9" s="352"/>
      <c r="F9" s="84"/>
      <c r="G9" s="28" t="str">
        <f>Outcome_Indicator_1</f>
        <v xml:space="preserve">Extent to which UNICEF has adopted a whole of Syria approach measured on scale of 0 to 25 
</v>
      </c>
      <c r="H9" s="84"/>
      <c r="I9" s="200" t="str">
        <f>Outcome_1_Planned_Yr1</f>
        <v>tbc</v>
      </c>
      <c r="J9" s="200">
        <f>Outcome_1_Achieved_Yr1</f>
        <v>0</v>
      </c>
      <c r="K9" s="84"/>
      <c r="L9" s="348" t="s">
        <v>49</v>
      </c>
      <c r="M9" s="363">
        <f>VLOOKUP(L9,$B$41:$F$47,3,FALSE)</f>
        <v>0</v>
      </c>
      <c r="N9" s="84"/>
      <c r="O9" s="348"/>
      <c r="P9" s="84"/>
      <c r="Q9" s="200" t="str">
        <f>Outcome_1_Planned_Yr2</f>
        <v>tbc</v>
      </c>
      <c r="R9" s="200">
        <f>Outcome_1_Achieved_Yr2</f>
        <v>0</v>
      </c>
      <c r="S9" s="84"/>
      <c r="T9" s="348" t="s">
        <v>49</v>
      </c>
      <c r="U9" s="363">
        <f>VLOOKUP(T9,$B$41:$F$47,3,FALSE)</f>
        <v>0</v>
      </c>
      <c r="V9" s="84"/>
      <c r="W9" s="348"/>
      <c r="X9" s="84"/>
    </row>
    <row r="10" spans="2:24" ht="77.45" customHeight="1" outlineLevel="2" x14ac:dyDescent="0.2">
      <c r="B10" s="365"/>
      <c r="D10" s="352"/>
      <c r="E10" s="352"/>
      <c r="F10" s="84"/>
      <c r="G10" s="28" t="str">
        <f>Outcome_Indicator_2</f>
        <v xml:space="preserve">
CHASE Annual Review score on reform priorities</v>
      </c>
      <c r="H10" s="84"/>
      <c r="I10" s="200" t="str">
        <f>Outcome_2_Planned_Yr1</f>
        <v>N/A</v>
      </c>
      <c r="J10" s="200">
        <f>Outcome_2_Achieved_Yr1</f>
        <v>0</v>
      </c>
      <c r="K10" s="84"/>
      <c r="L10" s="348"/>
      <c r="M10" s="363"/>
      <c r="N10" s="84"/>
      <c r="O10" s="348"/>
      <c r="P10" s="84"/>
      <c r="Q10" s="200" t="str">
        <f>Outcome_2_Planned_Yr2</f>
        <v>A</v>
      </c>
      <c r="R10" s="200">
        <f>Outcome_2_Achieved_Yr2</f>
        <v>0</v>
      </c>
      <c r="S10" s="84"/>
      <c r="T10" s="348"/>
      <c r="U10" s="363"/>
      <c r="V10" s="84"/>
      <c r="W10" s="348"/>
      <c r="X10" s="84"/>
    </row>
    <row r="11" spans="2:24" ht="55.9" hidden="1" customHeight="1" outlineLevel="2" x14ac:dyDescent="0.2">
      <c r="B11" s="365"/>
      <c r="D11" s="352"/>
      <c r="E11" s="352"/>
      <c r="F11" s="84"/>
      <c r="G11" s="28">
        <f>Outcome_Indicator_3</f>
        <v>0</v>
      </c>
      <c r="H11" s="84"/>
      <c r="I11" s="200">
        <f>Outcome_3_Planned_Yr1</f>
        <v>0</v>
      </c>
      <c r="J11" s="200">
        <f>Outcome_3_Achieved_Yr1</f>
        <v>0</v>
      </c>
      <c r="K11" s="84"/>
      <c r="L11" s="348"/>
      <c r="M11" s="363"/>
      <c r="N11" s="84"/>
      <c r="O11" s="348"/>
      <c r="P11" s="84"/>
      <c r="Q11" s="200">
        <f>Outcome_3_Planned_Yr2</f>
        <v>0</v>
      </c>
      <c r="R11" s="200">
        <f>Outcome_3_Achieved_Yr2</f>
        <v>0</v>
      </c>
      <c r="S11" s="84"/>
      <c r="T11" s="348"/>
      <c r="U11" s="363"/>
      <c r="V11" s="84"/>
      <c r="W11" s="348"/>
      <c r="X11" s="84"/>
    </row>
    <row r="12" spans="2:24" ht="3.75" customHeight="1" collapsed="1" x14ac:dyDescent="0.2">
      <c r="B12" s="71"/>
      <c r="D12" s="84"/>
      <c r="E12" s="84"/>
      <c r="F12" s="84"/>
      <c r="G12" s="29"/>
      <c r="H12" s="84"/>
      <c r="I12" s="286"/>
      <c r="J12" s="286"/>
      <c r="K12" s="84"/>
      <c r="L12" s="66"/>
      <c r="M12" s="363"/>
      <c r="N12" s="84"/>
      <c r="O12" s="84"/>
      <c r="P12" s="84"/>
      <c r="Q12" s="286"/>
      <c r="R12" s="286"/>
      <c r="S12" s="84"/>
      <c r="T12" s="66"/>
      <c r="U12" s="86"/>
      <c r="V12" s="84"/>
      <c r="W12" s="84"/>
      <c r="X12" s="84"/>
    </row>
    <row r="13" spans="2:24" ht="51" customHeight="1" x14ac:dyDescent="0.2">
      <c r="B13" s="365" t="s">
        <v>25</v>
      </c>
      <c r="D13" s="352" t="str">
        <f>OUTPUT_1</f>
        <v>Emergency assistance in WASH, Health, Nutrition, Education, Protection and Basic Needs provided within Syria</v>
      </c>
      <c r="E13" s="356">
        <f>IMPACT_WEIGHTING_1</f>
        <v>0.45</v>
      </c>
      <c r="F13" s="84"/>
      <c r="G13" s="28" t="str">
        <f>Output_Indicator_1.1</f>
        <v xml:space="preserve">Food:-Number of supplementary food interventions (packages, hot meals, vouchers, cash) provided to individuals. </v>
      </c>
      <c r="H13" s="84"/>
      <c r="I13" s="200">
        <f>Output_1.1_Planned_Yr1</f>
        <v>55640</v>
      </c>
      <c r="J13" s="200">
        <f>Output_1.1_Achieved_Yr1</f>
        <v>0</v>
      </c>
      <c r="K13" s="84"/>
      <c r="L13" s="348" t="s">
        <v>49</v>
      </c>
      <c r="M13" s="363">
        <f>VLOOKUP(L13,$B$41:$F$47,3,FALSE)</f>
        <v>0</v>
      </c>
      <c r="N13" s="86"/>
      <c r="O13" s="362"/>
      <c r="P13" s="84"/>
      <c r="Q13" s="200">
        <f>Output_1.1_Planned_Yr2</f>
        <v>111280</v>
      </c>
      <c r="R13" s="200">
        <f>Output_1.1_Achieved_Yr2</f>
        <v>0</v>
      </c>
      <c r="S13" s="84"/>
      <c r="T13" s="364" t="s">
        <v>49</v>
      </c>
      <c r="U13" s="363">
        <f>VLOOKUP(T13,$B$41:$F$47,3,FALSE)</f>
        <v>0</v>
      </c>
      <c r="V13" s="86"/>
      <c r="W13" s="362"/>
    </row>
    <row r="14" spans="2:24" ht="40.5" customHeight="1" outlineLevel="1" x14ac:dyDescent="0.2">
      <c r="B14" s="365"/>
      <c r="D14" s="352"/>
      <c r="E14" s="356"/>
      <c r="F14" s="84"/>
      <c r="G14" s="28" t="str">
        <f>Output_Indicator_1.2</f>
        <v>WASH -  Number of beneficiaries provided with drinking water</v>
      </c>
      <c r="H14" s="84"/>
      <c r="I14" s="200">
        <f>Output_1.2_Planned_Yr1</f>
        <v>660000</v>
      </c>
      <c r="J14" s="200">
        <f>Output_1.2_Achieved_Yr1</f>
        <v>0</v>
      </c>
      <c r="K14" s="84"/>
      <c r="L14" s="348"/>
      <c r="M14" s="363"/>
      <c r="N14" s="86"/>
      <c r="O14" s="362"/>
      <c r="P14" s="84"/>
      <c r="Q14" s="200">
        <f>Output_1.2_Planned_Yr2</f>
        <v>1320000</v>
      </c>
      <c r="R14" s="200">
        <f>Output_1.2_Achieved_Yr2</f>
        <v>0</v>
      </c>
      <c r="S14" s="84"/>
      <c r="T14" s="364"/>
      <c r="U14" s="363"/>
      <c r="V14" s="86"/>
      <c r="W14" s="362"/>
    </row>
    <row r="15" spans="2:24" ht="40.5" customHeight="1" outlineLevel="1" x14ac:dyDescent="0.2">
      <c r="B15" s="365"/>
      <c r="D15" s="352"/>
      <c r="E15" s="356"/>
      <c r="F15" s="84"/>
      <c r="G15" s="28" t="str">
        <f>Output_Indicator_1.3</f>
        <v>Health - Number of vaccinations provided</v>
      </c>
      <c r="H15" s="84"/>
      <c r="I15" s="200">
        <f>Output_1.3_Planned_Yr1</f>
        <v>224000</v>
      </c>
      <c r="J15" s="200">
        <f>Output_1.3_Achieved_Yr1</f>
        <v>0</v>
      </c>
      <c r="K15" s="84"/>
      <c r="L15" s="348"/>
      <c r="M15" s="363"/>
      <c r="N15" s="86"/>
      <c r="O15" s="362"/>
      <c r="P15" s="84"/>
      <c r="Q15" s="200">
        <f>Output_1.3_Planned_Yr2</f>
        <v>448000</v>
      </c>
      <c r="R15" s="200">
        <f>Output_1.3_Achieved_Yr2</f>
        <v>0</v>
      </c>
      <c r="S15" s="84"/>
      <c r="T15" s="364"/>
      <c r="U15" s="363"/>
      <c r="V15" s="86"/>
      <c r="W15" s="362"/>
    </row>
    <row r="16" spans="2:24" ht="40.5" customHeight="1" outlineLevel="1" x14ac:dyDescent="0.2">
      <c r="B16" s="365"/>
      <c r="D16" s="352"/>
      <c r="E16" s="356"/>
      <c r="F16" s="84"/>
      <c r="G16" s="28" t="str">
        <f>Output_Indicator_1.4</f>
        <v>Protection - Number of child visits (daily sign-ins) to child/adolescent friendly spaces</v>
      </c>
      <c r="H16" s="84"/>
      <c r="I16" s="200">
        <f>Output_1.4_Planned_Yr1</f>
        <v>15400</v>
      </c>
      <c r="J16" s="200">
        <f>Output_1.4_Achieved_Yr1</f>
        <v>0</v>
      </c>
      <c r="K16" s="84"/>
      <c r="L16" s="348"/>
      <c r="M16" s="363"/>
      <c r="N16" s="86"/>
      <c r="O16" s="362"/>
      <c r="P16" s="84"/>
      <c r="Q16" s="200">
        <f>Output_1.4_Planned_Yr2</f>
        <v>30800</v>
      </c>
      <c r="R16" s="200">
        <f>Output_1.4_Achieved_Yr2</f>
        <v>0</v>
      </c>
      <c r="S16" s="84"/>
      <c r="T16" s="364"/>
      <c r="U16" s="363"/>
      <c r="V16" s="86"/>
      <c r="W16" s="362"/>
    </row>
    <row r="17" spans="2:24" s="214" customFormat="1" ht="40.5" customHeight="1" outlineLevel="1" x14ac:dyDescent="0.2">
      <c r="B17" s="365"/>
      <c r="D17" s="352"/>
      <c r="E17" s="222"/>
      <c r="F17" s="212"/>
      <c r="G17" s="28" t="str">
        <f>Logframe!B55</f>
        <v>Education - Number of pupils provided with access to non-formal education</v>
      </c>
      <c r="H17" s="212"/>
      <c r="I17" s="200">
        <f>Logframe!E55</f>
        <v>64000</v>
      </c>
      <c r="J17" s="200">
        <f>Logframe!E56</f>
        <v>0</v>
      </c>
      <c r="K17" s="212"/>
      <c r="L17" s="348"/>
      <c r="M17" s="363"/>
      <c r="N17" s="213"/>
      <c r="P17" s="212"/>
      <c r="Q17" s="200">
        <f>Logframe!F55</f>
        <v>128000</v>
      </c>
      <c r="R17" s="200">
        <f>Logframe!F56</f>
        <v>0</v>
      </c>
      <c r="S17" s="212"/>
      <c r="T17" s="364"/>
      <c r="U17" s="363"/>
      <c r="V17" s="213"/>
    </row>
    <row r="18" spans="2:24" ht="10.5" customHeight="1" x14ac:dyDescent="0.2">
      <c r="B18" s="365"/>
      <c r="D18" s="58"/>
      <c r="E18" s="223"/>
      <c r="F18" s="84"/>
      <c r="G18" s="29"/>
      <c r="H18" s="84"/>
      <c r="I18" s="286"/>
      <c r="J18" s="286"/>
      <c r="K18" s="84"/>
      <c r="L18" s="84"/>
      <c r="M18" s="86"/>
      <c r="N18" s="86"/>
      <c r="O18" s="84"/>
      <c r="P18" s="84"/>
      <c r="Q18" s="286"/>
      <c r="R18" s="286"/>
      <c r="S18" s="84"/>
      <c r="T18" s="84"/>
      <c r="U18" s="86"/>
      <c r="V18" s="86"/>
      <c r="W18" s="84"/>
      <c r="X18" s="84"/>
    </row>
    <row r="19" spans="2:24" ht="25.5" x14ac:dyDescent="0.2">
      <c r="B19" s="365"/>
      <c r="D19" s="352" t="str">
        <f>OUTPUT_2</f>
        <v>Emergency assistance in WASH, Health, Nutrition, Education, Protection and Basic Needs provided within Lebanon</v>
      </c>
      <c r="E19" s="356">
        <f>IMPACT_WEIGHTING_2</f>
        <v>0.3</v>
      </c>
      <c r="F19" s="84"/>
      <c r="G19" s="28" t="str">
        <f>Output_Indicator_2.1</f>
        <v>WASH -  Number of beneficiaries provided with drinking water</v>
      </c>
      <c r="H19" s="84"/>
      <c r="I19" s="200">
        <f>Output_2.1_Planned_Yr1</f>
        <v>8584</v>
      </c>
      <c r="J19" s="200">
        <f>Output_2.1_Achieved_Yr1</f>
        <v>0</v>
      </c>
      <c r="K19" s="84"/>
      <c r="L19" s="348" t="s">
        <v>49</v>
      </c>
      <c r="M19" s="363">
        <f>VLOOKUP(L19,$B$41:$F$47,3,FALSE)</f>
        <v>0</v>
      </c>
      <c r="N19" s="86"/>
      <c r="O19" s="348"/>
      <c r="P19" s="84"/>
      <c r="Q19" s="200">
        <f>Output_2.1_Planned_Yr2</f>
        <v>17168</v>
      </c>
      <c r="R19" s="200">
        <f>Output_2.1_Achieved_Yr2</f>
        <v>0</v>
      </c>
      <c r="S19" s="84"/>
      <c r="T19" s="348" t="s">
        <v>49</v>
      </c>
      <c r="U19" s="363">
        <f>VLOOKUP(T19,$B$41:$F$47,3,FALSE)</f>
        <v>0</v>
      </c>
      <c r="V19" s="86"/>
      <c r="W19" s="348"/>
      <c r="X19" s="84"/>
    </row>
    <row r="20" spans="2:24" ht="25.5" outlineLevel="1" x14ac:dyDescent="0.2">
      <c r="B20" s="365"/>
      <c r="D20" s="352"/>
      <c r="E20" s="356"/>
      <c r="F20" s="84"/>
      <c r="G20" s="28" t="str">
        <f>Output_Indicator_2.2</f>
        <v>Education - Number of beneficiaries of teaching and learning materials provided</v>
      </c>
      <c r="H20" s="84"/>
      <c r="I20" s="200">
        <f>Output_2.2_Planned_Yr1</f>
        <v>4205</v>
      </c>
      <c r="J20" s="200">
        <f>Output_2.2_Achieved_Yr1</f>
        <v>0</v>
      </c>
      <c r="K20" s="84"/>
      <c r="L20" s="348"/>
      <c r="M20" s="363"/>
      <c r="N20" s="86"/>
      <c r="O20" s="348"/>
      <c r="P20" s="84"/>
      <c r="Q20" s="200">
        <f>Output_2.2_Planned_Yr2</f>
        <v>8410</v>
      </c>
      <c r="R20" s="200">
        <f>Output_2.2_Achieved_Yr2</f>
        <v>0</v>
      </c>
      <c r="S20" s="84"/>
      <c r="T20" s="348"/>
      <c r="U20" s="363"/>
      <c r="V20" s="86"/>
      <c r="W20" s="348"/>
      <c r="X20" s="84"/>
    </row>
    <row r="21" spans="2:24" ht="38.25" outlineLevel="1" x14ac:dyDescent="0.2">
      <c r="B21" s="365"/>
      <c r="D21" s="352"/>
      <c r="E21" s="356"/>
      <c r="F21" s="84"/>
      <c r="G21" s="28" t="str">
        <f>Output_Indicator_2.3</f>
        <v>Protection - Number of child visits (daily sign-ins) to child/adolescent friendly spaces</v>
      </c>
      <c r="H21" s="84"/>
      <c r="I21" s="200">
        <f>Output_2.3_Planned_Yr1</f>
        <v>2755</v>
      </c>
      <c r="J21" s="200">
        <f>Output_2.3_Achieved_Yr1</f>
        <v>0</v>
      </c>
      <c r="K21" s="84"/>
      <c r="L21" s="348"/>
      <c r="M21" s="363"/>
      <c r="N21" s="86"/>
      <c r="O21" s="348"/>
      <c r="P21" s="84"/>
      <c r="Q21" s="200">
        <f>Output_2.3_Planned_Yr2</f>
        <v>5510</v>
      </c>
      <c r="R21" s="200">
        <f>Output_2.3_Achieved_Yr2</f>
        <v>0</v>
      </c>
      <c r="S21" s="84"/>
      <c r="T21" s="348"/>
      <c r="U21" s="363"/>
      <c r="V21" s="86"/>
      <c r="W21" s="348"/>
      <c r="X21" s="84"/>
    </row>
    <row r="22" spans="2:24" ht="12.75" hidden="1" outlineLevel="1" x14ac:dyDescent="0.2">
      <c r="B22" s="365"/>
      <c r="D22" s="352"/>
      <c r="E22" s="356"/>
      <c r="F22" s="84"/>
      <c r="G22" s="28">
        <f>Output_Indicator_2.4</f>
        <v>0</v>
      </c>
      <c r="H22" s="84"/>
      <c r="I22" s="200">
        <f>Output_2.4_Planned_Yr1</f>
        <v>0</v>
      </c>
      <c r="J22" s="200">
        <f>Output_2.4_Achieved_Yr1</f>
        <v>0</v>
      </c>
      <c r="K22" s="84"/>
      <c r="L22" s="348"/>
      <c r="M22" s="363"/>
      <c r="N22" s="86"/>
      <c r="O22" s="348"/>
      <c r="P22" s="84"/>
      <c r="Q22" s="200">
        <f>Output_2.4_Planned_Yr2</f>
        <v>0</v>
      </c>
      <c r="R22" s="200">
        <f>Output_2.4_Achieved_Yr2</f>
        <v>0</v>
      </c>
      <c r="S22" s="84"/>
      <c r="T22" s="348"/>
      <c r="U22" s="363"/>
      <c r="V22" s="86"/>
      <c r="W22" s="348"/>
      <c r="X22" s="84"/>
    </row>
    <row r="23" spans="2:24" ht="2.25" customHeight="1" collapsed="1" x14ac:dyDescent="0.2">
      <c r="B23" s="365"/>
      <c r="D23" s="84"/>
      <c r="E23" s="221"/>
      <c r="F23" s="84"/>
      <c r="G23" s="29"/>
      <c r="H23" s="84"/>
      <c r="I23" s="286"/>
      <c r="J23" s="286"/>
      <c r="K23" s="84"/>
      <c r="L23" s="84"/>
      <c r="M23" s="86"/>
      <c r="N23" s="86"/>
      <c r="O23" s="84"/>
      <c r="P23" s="84"/>
      <c r="Q23" s="286"/>
      <c r="R23" s="286"/>
      <c r="S23" s="84"/>
      <c r="T23" s="84"/>
      <c r="U23" s="86"/>
      <c r="V23" s="86"/>
      <c r="W23" s="84"/>
      <c r="X23" s="84"/>
    </row>
    <row r="24" spans="2:24" ht="25.5" x14ac:dyDescent="0.2">
      <c r="B24" s="365"/>
      <c r="D24" s="352" t="str">
        <f>OUTPUT_3</f>
        <v>Emergency assistance in WASH, Health, Nutrition, Education, Protection and Basic Needs provided within Jordan</v>
      </c>
      <c r="E24" s="356">
        <f>IMPACT_WEIGHTING_3</f>
        <v>0.25</v>
      </c>
      <c r="F24" s="84"/>
      <c r="G24" s="28" t="str">
        <f>Output_Indicator_3.1</f>
        <v>WASH - Number of beneficiaries provided with drinking water</v>
      </c>
      <c r="H24" s="84"/>
      <c r="I24" s="200">
        <f>Output_3.1_Planned_Yr1</f>
        <v>57656.5</v>
      </c>
      <c r="J24" s="200">
        <f>Output_3.1_Achieved_Yr1</f>
        <v>0</v>
      </c>
      <c r="K24" s="84"/>
      <c r="L24" s="348" t="s">
        <v>49</v>
      </c>
      <c r="M24" s="363">
        <f>VLOOKUP(L24,$B$41:$F$47,3,FALSE)</f>
        <v>0</v>
      </c>
      <c r="N24" s="86"/>
      <c r="O24" s="348"/>
      <c r="P24" s="84"/>
      <c r="Q24" s="200">
        <f>Output_3.1_Planned_Yr2</f>
        <v>115313</v>
      </c>
      <c r="R24" s="200">
        <f>Output_3.1_Achieved_Yr2</f>
        <v>0</v>
      </c>
      <c r="S24" s="84"/>
      <c r="T24" s="348" t="s">
        <v>49</v>
      </c>
      <c r="U24" s="363">
        <f>VLOOKUP(T24,$B$41:$F$47,3,FALSE)</f>
        <v>0</v>
      </c>
      <c r="V24" s="86"/>
      <c r="W24" s="348"/>
      <c r="X24" s="84"/>
    </row>
    <row r="25" spans="2:24" ht="25.5" outlineLevel="1" x14ac:dyDescent="0.2">
      <c r="B25" s="365"/>
      <c r="D25" s="352"/>
      <c r="E25" s="356"/>
      <c r="F25" s="84"/>
      <c r="G25" s="28" t="str">
        <f>Output_Indicator_3.2</f>
        <v>Education - Number of beneficiaries of teaching and learning materials provided</v>
      </c>
      <c r="H25" s="84"/>
      <c r="I25" s="200">
        <f>Output_3.2_Planned_Yr1</f>
        <v>357</v>
      </c>
      <c r="J25" s="200">
        <f>Output_3.2_Achieved_Yr1</f>
        <v>0</v>
      </c>
      <c r="K25" s="84"/>
      <c r="L25" s="348"/>
      <c r="M25" s="363"/>
      <c r="N25" s="86"/>
      <c r="O25" s="348"/>
      <c r="P25" s="84"/>
      <c r="Q25" s="200">
        <f>Output_3.2_Planned_Yr2</f>
        <v>714</v>
      </c>
      <c r="R25" s="200">
        <f>Output_3.2_Achieved_Yr2</f>
        <v>0</v>
      </c>
      <c r="S25" s="84"/>
      <c r="T25" s="348"/>
      <c r="U25" s="363"/>
      <c r="V25" s="86"/>
      <c r="W25" s="348"/>
      <c r="X25" s="84"/>
    </row>
    <row r="26" spans="2:24" ht="38.25" outlineLevel="1" x14ac:dyDescent="0.2">
      <c r="B26" s="365"/>
      <c r="D26" s="352"/>
      <c r="E26" s="356"/>
      <c r="F26" s="84"/>
      <c r="G26" s="28" t="str">
        <f>Output_Indicator_3.3</f>
        <v>Protection - Number of child visits (daily sign-ins) to child/adolescent friendly spaces</v>
      </c>
      <c r="H26" s="84"/>
      <c r="I26" s="200">
        <f>Output_3.3_Planned_Yr1</f>
        <v>6039</v>
      </c>
      <c r="J26" s="200">
        <f>Output_3.3_Achieved_Yr1</f>
        <v>0</v>
      </c>
      <c r="K26" s="84"/>
      <c r="L26" s="348"/>
      <c r="M26" s="363"/>
      <c r="N26" s="86"/>
      <c r="O26" s="348"/>
      <c r="P26" s="84"/>
      <c r="Q26" s="200">
        <f>Output_3.3_Planned_Yr2</f>
        <v>12078</v>
      </c>
      <c r="R26" s="200">
        <f>Output_3.3_Achieved_Yr2</f>
        <v>0</v>
      </c>
      <c r="S26" s="84"/>
      <c r="T26" s="348"/>
      <c r="U26" s="363"/>
      <c r="V26" s="86"/>
      <c r="W26" s="348"/>
      <c r="X26" s="84"/>
    </row>
    <row r="27" spans="2:24" ht="12.75" hidden="1" outlineLevel="1" x14ac:dyDescent="0.2">
      <c r="B27" s="365"/>
      <c r="D27" s="352"/>
      <c r="E27" s="356"/>
      <c r="F27" s="84"/>
      <c r="G27" s="28">
        <f>Output_Indicator_3.4</f>
        <v>0</v>
      </c>
      <c r="H27" s="84"/>
      <c r="I27" s="200">
        <f>Output_3.4_Planned_Yr1</f>
        <v>0</v>
      </c>
      <c r="J27" s="200">
        <f>Output_3.4_Achieved_Yr1</f>
        <v>0</v>
      </c>
      <c r="K27" s="84"/>
      <c r="L27" s="348"/>
      <c r="M27" s="363"/>
      <c r="N27" s="86"/>
      <c r="O27" s="348"/>
      <c r="P27" s="84"/>
      <c r="Q27" s="200">
        <f>Output_3.4_Planned_Yr2</f>
        <v>0</v>
      </c>
      <c r="R27" s="200">
        <f>Output_3.4_Achieved_Yr2</f>
        <v>0</v>
      </c>
      <c r="S27" s="84"/>
      <c r="T27" s="348"/>
      <c r="U27" s="363"/>
      <c r="V27" s="86"/>
      <c r="W27" s="348"/>
      <c r="X27" s="84"/>
    </row>
    <row r="28" spans="2:24" ht="2.25" hidden="1" customHeight="1" outlineLevel="1" x14ac:dyDescent="0.2">
      <c r="B28" s="365"/>
      <c r="D28" s="84"/>
      <c r="E28" s="221"/>
      <c r="F28" s="84"/>
      <c r="G28" s="29"/>
      <c r="H28" s="84"/>
      <c r="I28" s="29"/>
      <c r="J28" s="29"/>
      <c r="K28" s="84"/>
      <c r="L28" s="84"/>
      <c r="M28" s="86"/>
      <c r="N28" s="86"/>
      <c r="O28" s="84"/>
      <c r="P28" s="84"/>
      <c r="Q28" s="29"/>
      <c r="R28" s="29"/>
      <c r="S28" s="84"/>
      <c r="T28" s="84"/>
      <c r="U28" s="86"/>
      <c r="V28" s="86"/>
      <c r="W28" s="84"/>
      <c r="X28" s="84"/>
    </row>
    <row r="29" spans="2:24" ht="12.75" hidden="1" outlineLevel="1" x14ac:dyDescent="0.2">
      <c r="B29" s="365"/>
      <c r="D29" s="352">
        <f>OUTPUT_4</f>
        <v>0</v>
      </c>
      <c r="E29" s="356">
        <f>IMPACT_WEIGHTING_4</f>
        <v>0</v>
      </c>
      <c r="F29" s="84"/>
      <c r="G29" s="28"/>
      <c r="H29" s="84"/>
      <c r="I29" s="28">
        <f>Output_4.1_Planned_Yr1</f>
        <v>0</v>
      </c>
      <c r="J29" s="28">
        <f>Output_4.1_Achieved_Yr1</f>
        <v>0</v>
      </c>
      <c r="K29" s="84"/>
      <c r="L29" s="348" t="s">
        <v>49</v>
      </c>
      <c r="M29" s="363">
        <f>VLOOKUP(L29,$B$41:$F$47,3,FALSE)</f>
        <v>0</v>
      </c>
      <c r="N29" s="86"/>
      <c r="O29" s="348"/>
      <c r="P29" s="84"/>
      <c r="Q29" s="28">
        <f>Output_4.1_Planned_Yr2</f>
        <v>0</v>
      </c>
      <c r="R29" s="28">
        <f>Output_4.1_Achieved_Yr2</f>
        <v>0</v>
      </c>
      <c r="S29" s="84"/>
      <c r="T29" s="348" t="s">
        <v>49</v>
      </c>
      <c r="U29" s="363">
        <f>VLOOKUP(T29,$B$41:$F$47,3,FALSE)</f>
        <v>0</v>
      </c>
      <c r="V29" s="86"/>
      <c r="W29" s="348"/>
      <c r="X29" s="84"/>
    </row>
    <row r="30" spans="2:24" ht="51" hidden="1" outlineLevel="1" x14ac:dyDescent="0.2">
      <c r="B30" s="365"/>
      <c r="D30" s="352"/>
      <c r="E30" s="356"/>
      <c r="F30" s="84"/>
      <c r="G30" s="28" t="str">
        <f>Output_Indicator_4.2</f>
        <v xml:space="preserve">
</v>
      </c>
      <c r="H30" s="84"/>
      <c r="I30" s="28">
        <f>Output_4.2_Planned_Yr1</f>
        <v>0</v>
      </c>
      <c r="J30" s="28">
        <f>Output_4.2_Achieved_Yr1</f>
        <v>0</v>
      </c>
      <c r="K30" s="84"/>
      <c r="L30" s="348"/>
      <c r="M30" s="363"/>
      <c r="N30" s="86"/>
      <c r="O30" s="348"/>
      <c r="P30" s="84"/>
      <c r="Q30" s="28">
        <f>Output_4.2_Planned_Yr2</f>
        <v>0</v>
      </c>
      <c r="R30" s="28">
        <f>Output_4.2_Achieved_Yr2</f>
        <v>0</v>
      </c>
      <c r="S30" s="84"/>
      <c r="T30" s="348"/>
      <c r="U30" s="363"/>
      <c r="V30" s="86"/>
      <c r="W30" s="348"/>
      <c r="X30" s="84"/>
    </row>
    <row r="31" spans="2:24" ht="12.75" hidden="1" outlineLevel="1" x14ac:dyDescent="0.2">
      <c r="B31" s="365"/>
      <c r="D31" s="352"/>
      <c r="E31" s="356"/>
      <c r="F31" s="84"/>
      <c r="G31" s="28">
        <f>Output_Indicator_4.3</f>
        <v>0</v>
      </c>
      <c r="H31" s="84"/>
      <c r="I31" s="28">
        <f>Output_4.3_Planned_Yr1</f>
        <v>0</v>
      </c>
      <c r="J31" s="28">
        <f>Output_4.3_Achieved_Yr1</f>
        <v>0</v>
      </c>
      <c r="K31" s="84"/>
      <c r="L31" s="348"/>
      <c r="M31" s="363"/>
      <c r="N31" s="86"/>
      <c r="O31" s="348"/>
      <c r="P31" s="84"/>
      <c r="Q31" s="28">
        <f>Output_4.3_Planned_Yr2</f>
        <v>0</v>
      </c>
      <c r="R31" s="28">
        <f>Output_4.3_Achieved_Yr2</f>
        <v>0</v>
      </c>
      <c r="S31" s="84"/>
      <c r="T31" s="348"/>
      <c r="U31" s="363"/>
      <c r="V31" s="86"/>
      <c r="W31" s="348"/>
      <c r="X31" s="84"/>
    </row>
    <row r="32" spans="2:24" ht="12.75" hidden="1" outlineLevel="1" x14ac:dyDescent="0.2">
      <c r="B32" s="365"/>
      <c r="D32" s="352"/>
      <c r="E32" s="356"/>
      <c r="F32" s="84"/>
      <c r="G32" s="28">
        <f>Output_Indicator_4.4</f>
        <v>0</v>
      </c>
      <c r="H32" s="84"/>
      <c r="I32" s="28">
        <f>Output_4.4_Planned_Yr1</f>
        <v>0</v>
      </c>
      <c r="J32" s="28">
        <f>Output_4.4_Achieved_Yr1</f>
        <v>0</v>
      </c>
      <c r="K32" s="84"/>
      <c r="L32" s="348"/>
      <c r="M32" s="363"/>
      <c r="N32" s="86"/>
      <c r="O32" s="348"/>
      <c r="P32" s="84"/>
      <c r="Q32" s="28">
        <f>Output_4.4_Planned_Yr2</f>
        <v>0</v>
      </c>
      <c r="R32" s="28">
        <f>Output_4.4_Achieved_Yr2</f>
        <v>0</v>
      </c>
      <c r="S32" s="84"/>
      <c r="T32" s="348"/>
      <c r="U32" s="363"/>
      <c r="V32" s="86"/>
      <c r="W32" s="348"/>
      <c r="X32" s="84"/>
    </row>
    <row r="33" spans="2:24" ht="2.25" hidden="1" customHeight="1" outlineLevel="1" x14ac:dyDescent="0.2">
      <c r="B33" s="365"/>
      <c r="D33" s="84"/>
      <c r="E33" s="221"/>
      <c r="F33" s="84"/>
      <c r="G33" s="29"/>
      <c r="H33" s="84"/>
      <c r="I33" s="29"/>
      <c r="J33" s="29"/>
      <c r="K33" s="84"/>
      <c r="L33" s="84"/>
      <c r="M33" s="86"/>
      <c r="N33" s="86"/>
      <c r="O33" s="84"/>
      <c r="P33" s="84"/>
      <c r="Q33" s="29"/>
      <c r="R33" s="29"/>
      <c r="S33" s="84"/>
      <c r="T33" s="84"/>
      <c r="U33" s="86"/>
      <c r="V33" s="86"/>
      <c r="W33" s="84"/>
      <c r="X33" s="84"/>
    </row>
    <row r="34" spans="2:24" ht="20.25" hidden="1" customHeight="1" outlineLevel="1" x14ac:dyDescent="0.2">
      <c r="B34" s="365"/>
      <c r="D34" s="352">
        <f>OUTPUT_5</f>
        <v>0</v>
      </c>
      <c r="E34" s="356">
        <f>IMPACT_WEIGHTING_5</f>
        <v>0</v>
      </c>
      <c r="F34" s="84"/>
      <c r="G34" s="28">
        <f>Output_Indicator_5.1</f>
        <v>0</v>
      </c>
      <c r="H34" s="84"/>
      <c r="I34" s="28">
        <f>Output_5.1_Planned_Yr1</f>
        <v>0</v>
      </c>
      <c r="J34" s="28">
        <f>Output_5.1_Achieved_Yr1</f>
        <v>0</v>
      </c>
      <c r="K34" s="84"/>
      <c r="L34" s="348" t="s">
        <v>49</v>
      </c>
      <c r="M34" s="363">
        <f>VLOOKUP(L34,$B$41:$F$47,3,FALSE)</f>
        <v>0</v>
      </c>
      <c r="N34" s="86"/>
      <c r="O34" s="348"/>
      <c r="P34" s="84"/>
      <c r="Q34" s="28">
        <f>Output_5.1_Planned_Yr2</f>
        <v>0</v>
      </c>
      <c r="R34" s="28">
        <f>Output_5.1_Achieved_Yr2</f>
        <v>0</v>
      </c>
      <c r="S34" s="84"/>
      <c r="T34" s="348" t="s">
        <v>49</v>
      </c>
      <c r="U34" s="363">
        <f>VLOOKUP(T34,$B$41:$F$47,3,FALSE)</f>
        <v>0</v>
      </c>
      <c r="V34" s="86"/>
      <c r="W34" s="348"/>
      <c r="X34" s="84"/>
    </row>
    <row r="35" spans="2:24" ht="20.25" hidden="1" customHeight="1" outlineLevel="1" x14ac:dyDescent="0.2">
      <c r="B35" s="365"/>
      <c r="D35" s="352"/>
      <c r="E35" s="356"/>
      <c r="F35" s="84"/>
      <c r="G35" s="28">
        <f>Output_Indicator_5.2</f>
        <v>0</v>
      </c>
      <c r="H35" s="84"/>
      <c r="I35" s="28">
        <f>Output_5.2_Planned_Yr1</f>
        <v>0</v>
      </c>
      <c r="J35" s="28">
        <f>Output_5.2_Achieved_Yr1</f>
        <v>0</v>
      </c>
      <c r="K35" s="84"/>
      <c r="L35" s="348"/>
      <c r="M35" s="363"/>
      <c r="N35" s="86"/>
      <c r="O35" s="348"/>
      <c r="P35" s="84"/>
      <c r="Q35" s="28">
        <f>Output_5.2_Planned_Yr2</f>
        <v>0</v>
      </c>
      <c r="R35" s="28">
        <f>Output_5.2_Achieved_Yr2</f>
        <v>0</v>
      </c>
      <c r="S35" s="84"/>
      <c r="T35" s="348"/>
      <c r="U35" s="363"/>
      <c r="V35" s="86"/>
      <c r="W35" s="348"/>
      <c r="X35" s="84"/>
    </row>
    <row r="36" spans="2:24" ht="20.25" hidden="1" customHeight="1" outlineLevel="1" x14ac:dyDescent="0.2">
      <c r="B36" s="365"/>
      <c r="D36" s="352"/>
      <c r="E36" s="356"/>
      <c r="F36" s="84"/>
      <c r="G36" s="28">
        <f>Output_Indicator_5.3</f>
        <v>0</v>
      </c>
      <c r="H36" s="84"/>
      <c r="I36" s="28">
        <f>Output_5.3_Planned_Yr1</f>
        <v>0</v>
      </c>
      <c r="J36" s="28">
        <f>Output_5.3_Achieved_Yr1</f>
        <v>0</v>
      </c>
      <c r="K36" s="84"/>
      <c r="L36" s="348"/>
      <c r="M36" s="363"/>
      <c r="N36" s="86"/>
      <c r="O36" s="348"/>
      <c r="P36" s="84"/>
      <c r="Q36" s="28">
        <f>Output_5.3_Planned_Yr2</f>
        <v>0</v>
      </c>
      <c r="R36" s="28">
        <f>Output_5.3_Achieved_Yr2</f>
        <v>0</v>
      </c>
      <c r="S36" s="84"/>
      <c r="T36" s="348"/>
      <c r="U36" s="363"/>
      <c r="V36" s="86"/>
      <c r="W36" s="348"/>
      <c r="X36" s="84"/>
    </row>
    <row r="37" spans="2:24" ht="21" hidden="1" customHeight="1" outlineLevel="1" x14ac:dyDescent="0.2">
      <c r="B37" s="365"/>
      <c r="D37" s="352"/>
      <c r="E37" s="356"/>
      <c r="F37" s="84"/>
      <c r="G37" s="28">
        <f>Output_Indicator_5.4</f>
        <v>0</v>
      </c>
      <c r="H37" s="84"/>
      <c r="I37" s="28">
        <f>Output_5.4_Planned_Yr1</f>
        <v>0</v>
      </c>
      <c r="J37" s="28">
        <f>Output_5.4_Achieved_Yr1</f>
        <v>0</v>
      </c>
      <c r="K37" s="84"/>
      <c r="L37" s="348"/>
      <c r="M37" s="363"/>
      <c r="N37" s="86"/>
      <c r="O37" s="348"/>
      <c r="P37" s="84"/>
      <c r="Q37" s="28">
        <f>Output_5.4_Planned_Yr2</f>
        <v>0</v>
      </c>
      <c r="R37" s="28">
        <f>Output_5.4_Achieved_Yr2</f>
        <v>0</v>
      </c>
      <c r="S37" s="84"/>
      <c r="T37" s="348"/>
      <c r="U37" s="363"/>
      <c r="V37" s="86"/>
      <c r="W37" s="348"/>
      <c r="X37" s="84"/>
    </row>
    <row r="38" spans="2:24" ht="6.75" hidden="1" customHeight="1" x14ac:dyDescent="0.2">
      <c r="I38" s="67"/>
      <c r="J38" s="67"/>
      <c r="Q38" s="67"/>
      <c r="R38" s="67"/>
    </row>
    <row r="39" spans="2:24" ht="38.25" x14ac:dyDescent="0.2">
      <c r="B39" s="33" t="s">
        <v>64</v>
      </c>
      <c r="E39" s="72">
        <f>SUM(E13:E37)</f>
        <v>1</v>
      </c>
      <c r="L39" s="23" t="str">
        <f>IF(M39&gt;137.5%,"A++",IF(M39&gt;=112.5%,"A+",IF(M39&gt;=87.5%,"A",IF(M39&gt;=62.5%,"B",IF(M39&gt;=2%,"C",$B$47)))))</f>
        <v>n/a</v>
      </c>
      <c r="M39" s="68">
        <f>(M13*$E$13)+(M19*$E$19)+(M24*$E$24)+(M29*$E$29)+(M34*$E$34)</f>
        <v>0</v>
      </c>
      <c r="N39" s="68"/>
      <c r="T39" s="23" t="str">
        <f>IF(U39&gt;137.5%,"A++",IF(U39&gt;=112.5%,"A+",IF(U39&gt;=87.5%,"A",IF(U39&gt;=62.5%,"B",IF(U39&gt;=2%,"C",$B$47)))))</f>
        <v>n/a</v>
      </c>
      <c r="U39" s="68">
        <f>(U13*$E$13)+(U19*$E$19)+(U24*$E$24)+(U34*$E$34)</f>
        <v>0</v>
      </c>
      <c r="V39" s="68"/>
    </row>
    <row r="40" spans="2:24" x14ac:dyDescent="0.2">
      <c r="L40" s="22"/>
      <c r="T40" s="22"/>
    </row>
    <row r="41" spans="2:24" ht="15" x14ac:dyDescent="0.2">
      <c r="B41" s="73"/>
      <c r="C41" s="74"/>
      <c r="D41" s="54" t="s">
        <v>45</v>
      </c>
      <c r="E41" s="75" t="s">
        <v>44</v>
      </c>
      <c r="F41" s="54"/>
      <c r="G41" s="54"/>
      <c r="L41" s="22"/>
      <c r="T41" s="22"/>
    </row>
    <row r="42" spans="2:24" ht="25.5" x14ac:dyDescent="0.2">
      <c r="B42" s="76" t="s">
        <v>37</v>
      </c>
      <c r="C42" s="77"/>
      <c r="D42" s="78">
        <v>1.5</v>
      </c>
      <c r="E42" s="78">
        <v>1.375</v>
      </c>
      <c r="F42" s="54"/>
      <c r="G42" s="55" t="s">
        <v>52</v>
      </c>
    </row>
    <row r="43" spans="2:24" ht="15" x14ac:dyDescent="0.2">
      <c r="B43" s="76" t="s">
        <v>38</v>
      </c>
      <c r="C43" s="77"/>
      <c r="D43" s="78">
        <v>1.25</v>
      </c>
      <c r="E43" s="78">
        <v>1.125</v>
      </c>
      <c r="F43" s="54"/>
      <c r="G43" s="55" t="s">
        <v>50</v>
      </c>
    </row>
    <row r="44" spans="2:24" ht="15" x14ac:dyDescent="0.2">
      <c r="B44" s="76" t="s">
        <v>41</v>
      </c>
      <c r="C44" s="77"/>
      <c r="D44" s="78">
        <v>1</v>
      </c>
      <c r="E44" s="78">
        <v>0.875</v>
      </c>
      <c r="F44" s="54"/>
      <c r="G44" s="55" t="s">
        <v>51</v>
      </c>
    </row>
    <row r="45" spans="2:24" ht="25.5" x14ac:dyDescent="0.2">
      <c r="B45" s="76" t="s">
        <v>39</v>
      </c>
      <c r="C45" s="77"/>
      <c r="D45" s="78">
        <v>0.75</v>
      </c>
      <c r="E45" s="78">
        <v>0.625</v>
      </c>
      <c r="F45" s="54"/>
      <c r="G45" s="55" t="s">
        <v>53</v>
      </c>
    </row>
    <row r="46" spans="2:24" ht="25.5" x14ac:dyDescent="0.2">
      <c r="B46" s="76" t="s">
        <v>40</v>
      </c>
      <c r="C46" s="77"/>
      <c r="D46" s="78">
        <v>0.5</v>
      </c>
      <c r="E46" s="79"/>
      <c r="F46" s="54"/>
      <c r="G46" s="55" t="s">
        <v>54</v>
      </c>
    </row>
    <row r="47" spans="2:24" x14ac:dyDescent="0.2">
      <c r="B47" s="80" t="s">
        <v>49</v>
      </c>
      <c r="D47" s="81">
        <v>0</v>
      </c>
      <c r="E47" s="82"/>
    </row>
    <row r="48" spans="2:24" x14ac:dyDescent="0.2">
      <c r="B48" s="80"/>
      <c r="D48" s="81"/>
      <c r="E48" s="82"/>
    </row>
    <row r="49" spans="2:7" ht="12.75" x14ac:dyDescent="0.2">
      <c r="B49" s="56" t="s">
        <v>55</v>
      </c>
      <c r="C49" s="56"/>
      <c r="D49" s="56"/>
      <c r="E49" s="56"/>
      <c r="F49" s="56"/>
      <c r="G49" s="56"/>
    </row>
    <row r="50" spans="2:7" ht="12.75" x14ac:dyDescent="0.2">
      <c r="B50" s="56" t="s">
        <v>42</v>
      </c>
      <c r="C50" s="56"/>
      <c r="D50" s="56">
        <v>1</v>
      </c>
      <c r="E50" s="56"/>
      <c r="F50" s="56"/>
      <c r="G50" s="56"/>
    </row>
    <row r="51" spans="2:7" ht="12.75" x14ac:dyDescent="0.2">
      <c r="B51" s="56" t="s">
        <v>24</v>
      </c>
      <c r="C51" s="56"/>
      <c r="D51" s="56">
        <v>2</v>
      </c>
      <c r="E51" s="56"/>
      <c r="F51" s="56"/>
      <c r="G51" s="56"/>
    </row>
    <row r="52" spans="2:7" ht="12.75" x14ac:dyDescent="0.2">
      <c r="B52" s="56" t="s">
        <v>43</v>
      </c>
      <c r="C52" s="56"/>
      <c r="D52" s="56">
        <v>3</v>
      </c>
      <c r="E52" s="56"/>
      <c r="F52" s="56"/>
      <c r="G52" s="56"/>
    </row>
    <row r="53" spans="2:7" ht="12.75" x14ac:dyDescent="0.2">
      <c r="B53" s="56"/>
      <c r="C53" s="56"/>
      <c r="D53" s="56"/>
      <c r="E53" s="56"/>
      <c r="F53" s="56"/>
      <c r="G53" s="56"/>
    </row>
    <row r="54" spans="2:7" ht="12.75" x14ac:dyDescent="0.2">
      <c r="B54" s="83"/>
    </row>
  </sheetData>
  <mergeCells count="55">
    <mergeCell ref="Q4:R4"/>
    <mergeCell ref="T9:T11"/>
    <mergeCell ref="W9:W11"/>
    <mergeCell ref="B1:O1"/>
    <mergeCell ref="L9:L11"/>
    <mergeCell ref="B6:B7"/>
    <mergeCell ref="D6:E7"/>
    <mergeCell ref="B9:B11"/>
    <mergeCell ref="D9:E11"/>
    <mergeCell ref="I4:J4"/>
    <mergeCell ref="B3:D3"/>
    <mergeCell ref="M9:M12"/>
    <mergeCell ref="U9:U11"/>
    <mergeCell ref="O9:O11"/>
    <mergeCell ref="O34:O37"/>
    <mergeCell ref="O24:O27"/>
    <mergeCell ref="O19:O22"/>
    <mergeCell ref="O13:O16"/>
    <mergeCell ref="O29:O32"/>
    <mergeCell ref="B13:B37"/>
    <mergeCell ref="D19:D22"/>
    <mergeCell ref="E19:E22"/>
    <mergeCell ref="E13:E16"/>
    <mergeCell ref="D24:D27"/>
    <mergeCell ref="D34:D37"/>
    <mergeCell ref="D29:D32"/>
    <mergeCell ref="E29:E32"/>
    <mergeCell ref="L29:L32"/>
    <mergeCell ref="D13:D17"/>
    <mergeCell ref="L13:L17"/>
    <mergeCell ref="M34:M37"/>
    <mergeCell ref="L19:L22"/>
    <mergeCell ref="L24:L27"/>
    <mergeCell ref="L34:L37"/>
    <mergeCell ref="E24:E27"/>
    <mergeCell ref="E34:E37"/>
    <mergeCell ref="M29:M32"/>
    <mergeCell ref="M19:M22"/>
    <mergeCell ref="M24:M27"/>
    <mergeCell ref="M13:M17"/>
    <mergeCell ref="W13:W16"/>
    <mergeCell ref="T34:T37"/>
    <mergeCell ref="U34:U37"/>
    <mergeCell ref="W34:W37"/>
    <mergeCell ref="T29:T32"/>
    <mergeCell ref="U29:U32"/>
    <mergeCell ref="W29:W32"/>
    <mergeCell ref="T19:T22"/>
    <mergeCell ref="U19:U22"/>
    <mergeCell ref="W19:W22"/>
    <mergeCell ref="T24:T27"/>
    <mergeCell ref="U24:U27"/>
    <mergeCell ref="W24:W27"/>
    <mergeCell ref="T13:T17"/>
    <mergeCell ref="U13:U17"/>
  </mergeCells>
  <conditionalFormatting sqref="O9:O37 W9:W37 B50:B52">
    <cfRule type="cellIs" dxfId="67" priority="29" operator="equal">
      <formula>$B$50</formula>
    </cfRule>
  </conditionalFormatting>
  <conditionalFormatting sqref="O9:O37 W9:W37 B50:B52">
    <cfRule type="cellIs" dxfId="66" priority="28" operator="equal">
      <formula>$B$51</formula>
    </cfRule>
  </conditionalFormatting>
  <conditionalFormatting sqref="O9:O37 W9:W37 B50:B52">
    <cfRule type="cellIs" dxfId="65" priority="27" operator="equal">
      <formula>$B$52</formula>
    </cfRule>
  </conditionalFormatting>
  <conditionalFormatting sqref="B42:B46">
    <cfRule type="cellIs" dxfId="64" priority="21" operator="equal">
      <formula>$B$43</formula>
    </cfRule>
    <cfRule type="cellIs" dxfId="63" priority="22" operator="equal">
      <formula>$B$46</formula>
    </cfRule>
    <cfRule type="cellIs" dxfId="62" priority="23" operator="equal">
      <formula>$B$45</formula>
    </cfRule>
    <cfRule type="cellIs" dxfId="61" priority="24" operator="equal">
      <formula>$B$44</formula>
    </cfRule>
    <cfRule type="cellIs" dxfId="60" priority="25" operator="equal">
      <formula>$B$43</formula>
    </cfRule>
    <cfRule type="cellIs" dxfId="59" priority="26" operator="equal">
      <formula>$B$42</formula>
    </cfRule>
  </conditionalFormatting>
  <conditionalFormatting sqref="L9:L13 T39 L18:L39">
    <cfRule type="cellIs" dxfId="58" priority="44" operator="equal">
      <formula>$B$46</formula>
    </cfRule>
    <cfRule type="cellIs" dxfId="57" priority="45" operator="equal">
      <formula>$B$45</formula>
    </cfRule>
    <cfRule type="cellIs" dxfId="56" priority="46" operator="equal">
      <formula>$B$44</formula>
    </cfRule>
    <cfRule type="cellIs" dxfId="55" priority="47" operator="equal">
      <formula>$B$43</formula>
    </cfRule>
    <cfRule type="cellIs" dxfId="54" priority="48" operator="equal">
      <formula>$B$42</formula>
    </cfRule>
  </conditionalFormatting>
  <conditionalFormatting sqref="T9:T13 T18:T38">
    <cfRule type="cellIs" dxfId="53" priority="54" operator="equal">
      <formula>$B$44</formula>
    </cfRule>
    <cfRule type="cellIs" dxfId="52" priority="55" operator="equal">
      <formula>$B$43</formula>
    </cfRule>
    <cfRule type="cellIs" dxfId="51" priority="56" operator="equal">
      <formula>$B$42</formula>
    </cfRule>
  </conditionalFormatting>
  <conditionalFormatting sqref="L9:L13 L18:L37">
    <cfRule type="cellIs" dxfId="50" priority="66" operator="equal">
      <formula>$B$43</formula>
    </cfRule>
  </conditionalFormatting>
  <conditionalFormatting sqref="L9:L13 T9:T13 L18:L39 T18:T39">
    <cfRule type="cellIs" dxfId="49" priority="68" operator="equal">
      <formula>$B$46</formula>
    </cfRule>
    <cfRule type="cellIs" dxfId="48" priority="69" operator="equal">
      <formula>$B$45</formula>
    </cfRule>
    <cfRule type="cellIs" dxfId="47" priority="70" operator="equal">
      <formula>$B$44</formula>
    </cfRule>
    <cfRule type="cellIs" dxfId="46" priority="71" operator="equal">
      <formula>$B$43</formula>
    </cfRule>
    <cfRule type="cellIs" dxfId="45" priority="72" operator="equal">
      <formula>$B$42</formula>
    </cfRule>
  </conditionalFormatting>
  <dataValidations count="2">
    <dataValidation type="list" allowBlank="1" showInputMessage="1" showErrorMessage="1" sqref="L34:L37 T19:T22 T24:T27 T9 L12:L13 T34:T37 L19:L22 L24:L27 L9 L29:L32 T29:T32 T12:T13">
      <formula1>$B$42:$B$47</formula1>
    </dataValidation>
    <dataValidation type="list" allowBlank="1" showInputMessage="1" showErrorMessage="1" sqref="O9:O39 W9:X39">
      <formula1>$B$50:$B$53</formula1>
    </dataValidation>
  </dataValidations>
  <pageMargins left="0.7" right="0.7" top="0.75" bottom="0.75" header="0.3" footer="0.3"/>
  <pageSetup paperSize="9" scale="6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67"/>
  <sheetViews>
    <sheetView zoomScale="90" zoomScaleNormal="90" workbookViewId="0">
      <selection activeCell="J3" sqref="J3"/>
    </sheetView>
  </sheetViews>
  <sheetFormatPr defaultRowHeight="12.75" x14ac:dyDescent="0.2"/>
  <cols>
    <col min="1" max="1" width="8" style="111" customWidth="1"/>
    <col min="2" max="2" width="37.28515625" style="112" customWidth="1"/>
    <col min="3" max="3" width="12.5703125" style="111" customWidth="1"/>
    <col min="4" max="4" width="12.5703125" style="112" hidden="1" customWidth="1"/>
    <col min="5" max="5" width="12.5703125" style="112" customWidth="1"/>
    <col min="6" max="7" width="10.7109375" style="112" hidden="1" customWidth="1"/>
    <col min="8" max="8" width="9.5703125" style="174" customWidth="1"/>
    <col min="9" max="9" width="44.28515625" style="112" customWidth="1"/>
    <col min="10" max="10" width="13.28515625" style="114" customWidth="1"/>
    <col min="11" max="11" width="31.140625" style="111" customWidth="1"/>
    <col min="12" max="16384" width="9.140625" style="111"/>
  </cols>
  <sheetData>
    <row r="1" spans="1:12" ht="31.5" customHeight="1" x14ac:dyDescent="0.2">
      <c r="A1" s="368" t="s">
        <v>229</v>
      </c>
      <c r="B1" s="370" t="s">
        <v>74</v>
      </c>
      <c r="C1" s="375" t="s">
        <v>226</v>
      </c>
      <c r="D1" s="376"/>
      <c r="E1" s="376"/>
      <c r="F1" s="376"/>
      <c r="G1" s="376"/>
      <c r="H1" s="377"/>
      <c r="I1" s="370" t="s">
        <v>231</v>
      </c>
      <c r="J1" s="370" t="s">
        <v>230</v>
      </c>
      <c r="K1" s="372" t="s">
        <v>232</v>
      </c>
      <c r="L1" s="374"/>
    </row>
    <row r="2" spans="1:12" ht="31.5" x14ac:dyDescent="0.2">
      <c r="A2" s="369"/>
      <c r="B2" s="371"/>
      <c r="C2" s="171" t="s">
        <v>228</v>
      </c>
      <c r="D2" s="155" t="s">
        <v>250</v>
      </c>
      <c r="E2" s="155" t="s">
        <v>73</v>
      </c>
      <c r="F2" s="170"/>
      <c r="G2" s="378" t="s">
        <v>233</v>
      </c>
      <c r="H2" s="379"/>
      <c r="I2" s="371"/>
      <c r="J2" s="371"/>
      <c r="K2" s="373"/>
      <c r="L2" s="374"/>
    </row>
    <row r="3" spans="1:12" x14ac:dyDescent="0.2">
      <c r="A3" s="157"/>
      <c r="B3" s="115"/>
      <c r="C3" s="172"/>
      <c r="D3" s="115" t="e">
        <f>VLOOKUP(C3,Background!$A$5:$B$9,2,FALSE)</f>
        <v>#N/A</v>
      </c>
      <c r="E3" s="115"/>
      <c r="F3" s="115" t="e">
        <f>VLOOKUP(E3,Background!C5:$D$9,2,FALSE)</f>
        <v>#N/A</v>
      </c>
      <c r="G3" s="115" t="e">
        <f>D3*F3</f>
        <v>#N/A</v>
      </c>
      <c r="H3" s="175" t="e">
        <f>VLOOKUP(G3,Background!G5:$H$24,2,FALSE)</f>
        <v>#N/A</v>
      </c>
      <c r="I3" s="115"/>
      <c r="J3" s="156"/>
      <c r="K3" s="157"/>
    </row>
    <row r="4" spans="1:12" x14ac:dyDescent="0.2">
      <c r="A4" s="157"/>
      <c r="B4" s="115"/>
      <c r="C4" s="119"/>
      <c r="D4" s="115" t="e">
        <f>VLOOKUP(C4,Background!$A$5:$B$9,2,FALSE)</f>
        <v>#N/A</v>
      </c>
      <c r="E4" s="115"/>
      <c r="F4" s="115" t="e">
        <f>VLOOKUP(E4,Background!C6:$D$9,2,FALSE)</f>
        <v>#N/A</v>
      </c>
      <c r="G4" s="115" t="e">
        <f t="shared" ref="G4:G49" si="0">D4*F4</f>
        <v>#N/A</v>
      </c>
      <c r="H4" s="176" t="e">
        <f>VLOOKUP(G4,Background!G6:$H$24,2,FALSE)</f>
        <v>#N/A</v>
      </c>
      <c r="I4" s="118"/>
      <c r="J4" s="156"/>
      <c r="K4" s="157"/>
    </row>
    <row r="5" spans="1:12" x14ac:dyDescent="0.2">
      <c r="A5" s="157"/>
      <c r="B5" s="115"/>
      <c r="C5" s="119"/>
      <c r="D5" s="115" t="e">
        <f>VLOOKUP(C5,Background!$A$5:$B$9,2,FALSE)</f>
        <v>#N/A</v>
      </c>
      <c r="E5" s="115"/>
      <c r="F5" s="115" t="e">
        <f>VLOOKUP(E5,Background!C7:$D$9,2,FALSE)</f>
        <v>#N/A</v>
      </c>
      <c r="G5" s="115" t="e">
        <f t="shared" si="0"/>
        <v>#N/A</v>
      </c>
      <c r="H5" s="175" t="e">
        <f>VLOOKUP(G5,Background!G7:$H$24,2,FALSE)</f>
        <v>#N/A</v>
      </c>
      <c r="I5" s="115"/>
      <c r="J5" s="156"/>
      <c r="K5" s="157"/>
    </row>
    <row r="6" spans="1:12" x14ac:dyDescent="0.2">
      <c r="A6" s="157"/>
      <c r="B6" s="119"/>
      <c r="C6" s="119"/>
      <c r="D6" s="115" t="e">
        <f>VLOOKUP(C6,Background!$A$5:$B$9,2,FALSE)</f>
        <v>#N/A</v>
      </c>
      <c r="E6" s="119"/>
      <c r="F6" s="115" t="e">
        <f>VLOOKUP(E6,Background!C8:$D$9,2,FALSE)</f>
        <v>#N/A</v>
      </c>
      <c r="G6" s="115" t="e">
        <f t="shared" si="0"/>
        <v>#N/A</v>
      </c>
      <c r="H6" s="175" t="e">
        <f>VLOOKUP(G6,Background!G8:$H$24,2,FALSE)</f>
        <v>#N/A</v>
      </c>
      <c r="I6" s="115"/>
      <c r="J6" s="156"/>
      <c r="K6" s="157"/>
    </row>
    <row r="7" spans="1:12" x14ac:dyDescent="0.2">
      <c r="A7" s="157"/>
      <c r="B7" s="115"/>
      <c r="C7" s="119"/>
      <c r="D7" s="115" t="e">
        <f>VLOOKUP(C7,Background!$A$5:$B$9,2,FALSE)</f>
        <v>#N/A</v>
      </c>
      <c r="E7" s="115"/>
      <c r="F7" s="115" t="e">
        <f>VLOOKUP(E7,Background!C9:$D$9,2,FALSE)</f>
        <v>#N/A</v>
      </c>
      <c r="G7" s="115" t="e">
        <f t="shared" si="0"/>
        <v>#N/A</v>
      </c>
      <c r="H7" s="175" t="e">
        <f>VLOOKUP(G7,Background!G9:$H$24,2,FALSE)</f>
        <v>#N/A</v>
      </c>
      <c r="I7" s="115"/>
      <c r="J7" s="156"/>
      <c r="K7" s="157"/>
    </row>
    <row r="8" spans="1:12" x14ac:dyDescent="0.2">
      <c r="A8" s="157"/>
      <c r="B8" s="115"/>
      <c r="C8" s="119"/>
      <c r="D8" s="115" t="e">
        <f>VLOOKUP(C8,Background!$A$5:$B$9,2,FALSE)</f>
        <v>#N/A</v>
      </c>
      <c r="E8" s="115"/>
      <c r="F8" s="115" t="e">
        <f>VLOOKUP(E8,Background!C$9:$D10,2,FALSE)</f>
        <v>#N/A</v>
      </c>
      <c r="G8" s="115" t="e">
        <f t="shared" si="0"/>
        <v>#N/A</v>
      </c>
      <c r="H8" s="175" t="e">
        <f>VLOOKUP(G8,Background!G10:$H$24,2,FALSE)</f>
        <v>#N/A</v>
      </c>
      <c r="I8" s="115"/>
      <c r="J8" s="156"/>
      <c r="K8" s="157"/>
    </row>
    <row r="9" spans="1:12" x14ac:dyDescent="0.2">
      <c r="A9" s="157"/>
      <c r="B9" s="116"/>
      <c r="C9" s="157"/>
      <c r="D9" s="115" t="e">
        <f>VLOOKUP(C9,Background!$A$5:$B$9,2,FALSE)</f>
        <v>#N/A</v>
      </c>
      <c r="E9" s="116"/>
      <c r="F9" s="115" t="e">
        <f>VLOOKUP(E9,Background!C$9:$D11,2,FALSE)</f>
        <v>#N/A</v>
      </c>
      <c r="G9" s="115" t="e">
        <f t="shared" si="0"/>
        <v>#N/A</v>
      </c>
      <c r="H9" s="175" t="e">
        <f>VLOOKUP(G9,Background!G11:$H$24,2,FALSE)</f>
        <v>#N/A</v>
      </c>
      <c r="I9" s="116"/>
      <c r="J9" s="156"/>
      <c r="K9" s="157"/>
    </row>
    <row r="10" spans="1:12" x14ac:dyDescent="0.2">
      <c r="A10" s="157"/>
      <c r="B10" s="116"/>
      <c r="C10" s="157"/>
      <c r="D10" s="115" t="e">
        <f>VLOOKUP(C10,Background!$A$5:$B$9,2,FALSE)</f>
        <v>#N/A</v>
      </c>
      <c r="E10" s="116"/>
      <c r="F10" s="115" t="e">
        <f>VLOOKUP(E10,Background!C$9:$D12,2,FALSE)</f>
        <v>#N/A</v>
      </c>
      <c r="G10" s="115" t="e">
        <f t="shared" si="0"/>
        <v>#N/A</v>
      </c>
      <c r="H10" s="175" t="e">
        <f>VLOOKUP(G10,Background!G12:$H$24,2,FALSE)</f>
        <v>#N/A</v>
      </c>
      <c r="I10" s="116"/>
      <c r="J10" s="156"/>
      <c r="K10" s="157"/>
    </row>
    <row r="11" spans="1:12" x14ac:dyDescent="0.2">
      <c r="A11" s="157"/>
      <c r="B11" s="116"/>
      <c r="C11" s="157"/>
      <c r="D11" s="115" t="e">
        <f>VLOOKUP(C11,Background!$A$5:$B$9,2,FALSE)</f>
        <v>#N/A</v>
      </c>
      <c r="E11" s="116"/>
      <c r="F11" s="115" t="e">
        <f>VLOOKUP(E11,Background!C$9:$D13,2,FALSE)</f>
        <v>#N/A</v>
      </c>
      <c r="G11" s="115" t="e">
        <f t="shared" si="0"/>
        <v>#N/A</v>
      </c>
      <c r="H11" s="175" t="e">
        <f>VLOOKUP(G11,Background!G13:$H$24,2,FALSE)</f>
        <v>#N/A</v>
      </c>
      <c r="I11" s="116"/>
      <c r="J11" s="156"/>
      <c r="K11" s="157"/>
    </row>
    <row r="12" spans="1:12" x14ac:dyDescent="0.2">
      <c r="A12" s="157"/>
      <c r="B12" s="116"/>
      <c r="C12" s="157"/>
      <c r="D12" s="115" t="e">
        <f>VLOOKUP(C12,Background!$A$5:$B$9,2,FALSE)</f>
        <v>#N/A</v>
      </c>
      <c r="E12" s="116"/>
      <c r="F12" s="115" t="e">
        <f>VLOOKUP(E12,Background!C$9:$D14,2,FALSE)</f>
        <v>#N/A</v>
      </c>
      <c r="G12" s="115" t="e">
        <f t="shared" si="0"/>
        <v>#N/A</v>
      </c>
      <c r="H12" s="175" t="e">
        <f>VLOOKUP(G12,Background!G14:$H$24,2,FALSE)</f>
        <v>#N/A</v>
      </c>
      <c r="I12" s="116"/>
      <c r="J12" s="156"/>
      <c r="K12" s="157"/>
    </row>
    <row r="13" spans="1:12" x14ac:dyDescent="0.2">
      <c r="A13" s="157"/>
      <c r="B13" s="116"/>
      <c r="C13" s="157"/>
      <c r="D13" s="115" t="e">
        <f>VLOOKUP(C13,Background!$A$5:$B$9,2,FALSE)</f>
        <v>#N/A</v>
      </c>
      <c r="E13" s="116"/>
      <c r="F13" s="115" t="e">
        <f>VLOOKUP(E13,Background!C$9:$D15,2,FALSE)</f>
        <v>#N/A</v>
      </c>
      <c r="G13" s="115" t="e">
        <f t="shared" si="0"/>
        <v>#N/A</v>
      </c>
      <c r="H13" s="175" t="e">
        <f>VLOOKUP(G13,Background!G15:$H$24,2,FALSE)</f>
        <v>#N/A</v>
      </c>
      <c r="I13" s="116"/>
      <c r="J13" s="156"/>
      <c r="K13" s="157"/>
      <c r="L13" s="117"/>
    </row>
    <row r="14" spans="1:12" x14ac:dyDescent="0.2">
      <c r="A14" s="157"/>
      <c r="B14" s="116"/>
      <c r="C14" s="157"/>
      <c r="D14" s="115" t="e">
        <f>VLOOKUP(C14,Background!$A$5:$B$9,2,FALSE)</f>
        <v>#N/A</v>
      </c>
      <c r="E14" s="116"/>
      <c r="F14" s="115" t="e">
        <f>VLOOKUP(E14,Background!C$9:$D16,2,FALSE)</f>
        <v>#N/A</v>
      </c>
      <c r="G14" s="115" t="e">
        <f t="shared" si="0"/>
        <v>#N/A</v>
      </c>
      <c r="H14" s="175" t="e">
        <f>VLOOKUP(G14,Background!G16:$H$24,2,FALSE)</f>
        <v>#N/A</v>
      </c>
      <c r="I14" s="116"/>
      <c r="J14" s="156"/>
      <c r="K14" s="157"/>
      <c r="L14" s="117"/>
    </row>
    <row r="15" spans="1:12" x14ac:dyDescent="0.2">
      <c r="A15" s="157"/>
      <c r="B15" s="116"/>
      <c r="C15" s="157"/>
      <c r="D15" s="115" t="e">
        <f>VLOOKUP(C15,Background!$A$5:$B$9,2,FALSE)</f>
        <v>#N/A</v>
      </c>
      <c r="E15" s="116"/>
      <c r="F15" s="115" t="e">
        <f>VLOOKUP(E15,Background!C$9:$D17,2,FALSE)</f>
        <v>#N/A</v>
      </c>
      <c r="G15" s="115" t="e">
        <f t="shared" si="0"/>
        <v>#N/A</v>
      </c>
      <c r="H15" s="175" t="e">
        <f>VLOOKUP(G15,Background!G17:$H$24,2,FALSE)</f>
        <v>#N/A</v>
      </c>
      <c r="I15" s="116"/>
      <c r="J15" s="156"/>
      <c r="K15" s="157"/>
    </row>
    <row r="16" spans="1:12" x14ac:dyDescent="0.2">
      <c r="A16" s="157"/>
      <c r="B16" s="116"/>
      <c r="C16" s="157"/>
      <c r="D16" s="115" t="e">
        <f>VLOOKUP(C16,Background!$A$5:$B$9,2,FALSE)</f>
        <v>#N/A</v>
      </c>
      <c r="E16" s="116"/>
      <c r="F16" s="115" t="e">
        <f>VLOOKUP(E16,Background!C$9:$D18,2,FALSE)</f>
        <v>#N/A</v>
      </c>
      <c r="G16" s="115" t="e">
        <f t="shared" si="0"/>
        <v>#N/A</v>
      </c>
      <c r="H16" s="175" t="e">
        <f>VLOOKUP(G16,Background!G18:$H$24,2,FALSE)</f>
        <v>#N/A</v>
      </c>
      <c r="I16" s="116"/>
      <c r="J16" s="156"/>
      <c r="K16" s="157"/>
    </row>
    <row r="17" spans="1:11" x14ac:dyDescent="0.2">
      <c r="A17" s="157"/>
      <c r="B17" s="116"/>
      <c r="C17" s="157"/>
      <c r="D17" s="115" t="e">
        <f>VLOOKUP(C17,Background!$A$5:$B$9,2,FALSE)</f>
        <v>#N/A</v>
      </c>
      <c r="E17" s="116"/>
      <c r="F17" s="115" t="e">
        <f>VLOOKUP(E17,Background!C$9:$D19,2,FALSE)</f>
        <v>#N/A</v>
      </c>
      <c r="G17" s="115" t="e">
        <f t="shared" si="0"/>
        <v>#N/A</v>
      </c>
      <c r="H17" s="175" t="e">
        <f>VLOOKUP(G17,Background!G19:$H$24,2,FALSE)</f>
        <v>#N/A</v>
      </c>
      <c r="I17" s="116"/>
      <c r="J17" s="156"/>
      <c r="K17" s="157"/>
    </row>
    <row r="18" spans="1:11" x14ac:dyDescent="0.2">
      <c r="A18" s="157"/>
      <c r="B18" s="116"/>
      <c r="C18" s="157"/>
      <c r="D18" s="115" t="e">
        <f>VLOOKUP(C18,Background!$A$5:$B$9,2,FALSE)</f>
        <v>#N/A</v>
      </c>
      <c r="E18" s="116"/>
      <c r="F18" s="115" t="e">
        <f>VLOOKUP(E18,Background!C$9:$D20,2,FALSE)</f>
        <v>#N/A</v>
      </c>
      <c r="G18" s="115" t="e">
        <f t="shared" si="0"/>
        <v>#N/A</v>
      </c>
      <c r="H18" s="175" t="e">
        <f>VLOOKUP(G18,Background!G20:$H$24,2,FALSE)</f>
        <v>#N/A</v>
      </c>
      <c r="I18" s="116"/>
      <c r="J18" s="156"/>
      <c r="K18" s="157"/>
    </row>
    <row r="19" spans="1:11" x14ac:dyDescent="0.2">
      <c r="A19" s="157"/>
      <c r="B19" s="116"/>
      <c r="C19" s="157"/>
      <c r="D19" s="115" t="e">
        <f>VLOOKUP(C19,Background!$A$5:$B$9,2,FALSE)</f>
        <v>#N/A</v>
      </c>
      <c r="E19" s="116"/>
      <c r="F19" s="115" t="e">
        <f>VLOOKUP(E19,Background!C$9:$D21,2,FALSE)</f>
        <v>#N/A</v>
      </c>
      <c r="G19" s="115" t="e">
        <f t="shared" si="0"/>
        <v>#N/A</v>
      </c>
      <c r="H19" s="175" t="e">
        <f>VLOOKUP(G19,Background!G21:$H$24,2,FALSE)</f>
        <v>#N/A</v>
      </c>
      <c r="I19" s="116"/>
      <c r="J19" s="156"/>
      <c r="K19" s="157"/>
    </row>
    <row r="20" spans="1:11" x14ac:dyDescent="0.2">
      <c r="A20" s="157"/>
      <c r="B20" s="116"/>
      <c r="C20" s="157"/>
      <c r="D20" s="115" t="e">
        <f>VLOOKUP(C20,Background!$A$5:$B$9,2,FALSE)</f>
        <v>#N/A</v>
      </c>
      <c r="E20" s="116"/>
      <c r="F20" s="115" t="e">
        <f>VLOOKUP(E20,Background!C$9:$D22,2,FALSE)</f>
        <v>#N/A</v>
      </c>
      <c r="G20" s="115" t="e">
        <f t="shared" si="0"/>
        <v>#N/A</v>
      </c>
      <c r="H20" s="175" t="e">
        <f>VLOOKUP(G20,Background!G22:$H$24,2,FALSE)</f>
        <v>#N/A</v>
      </c>
      <c r="I20" s="116"/>
      <c r="J20" s="156"/>
      <c r="K20" s="157"/>
    </row>
    <row r="21" spans="1:11" x14ac:dyDescent="0.2">
      <c r="A21" s="157"/>
      <c r="B21" s="116"/>
      <c r="C21" s="157"/>
      <c r="D21" s="115" t="e">
        <f>VLOOKUP(C21,Background!$A$5:$B$9,2,FALSE)</f>
        <v>#N/A</v>
      </c>
      <c r="E21" s="116"/>
      <c r="F21" s="115" t="e">
        <f>VLOOKUP(E21,Background!C$9:$D23,2,FALSE)</f>
        <v>#N/A</v>
      </c>
      <c r="G21" s="115" t="e">
        <f t="shared" si="0"/>
        <v>#N/A</v>
      </c>
      <c r="H21" s="175" t="e">
        <f>VLOOKUP(G21,Background!G23:$H$24,2,FALSE)</f>
        <v>#N/A</v>
      </c>
      <c r="I21" s="116"/>
      <c r="J21" s="156"/>
      <c r="K21" s="157"/>
    </row>
    <row r="22" spans="1:11" x14ac:dyDescent="0.2">
      <c r="A22" s="157"/>
      <c r="B22" s="116"/>
      <c r="C22" s="157"/>
      <c r="D22" s="115" t="e">
        <f>VLOOKUP(C22,Background!$A$5:$B$9,2,FALSE)</f>
        <v>#N/A</v>
      </c>
      <c r="E22" s="116"/>
      <c r="F22" s="115" t="e">
        <f>VLOOKUP(E22,Background!C$9:$D24,2,FALSE)</f>
        <v>#N/A</v>
      </c>
      <c r="G22" s="115" t="e">
        <f t="shared" si="0"/>
        <v>#N/A</v>
      </c>
      <c r="H22" s="175" t="e">
        <f>VLOOKUP(G22,Background!G24:$H$24,2,FALSE)</f>
        <v>#N/A</v>
      </c>
      <c r="I22" s="116"/>
      <c r="J22" s="156"/>
      <c r="K22" s="157"/>
    </row>
    <row r="23" spans="1:11" x14ac:dyDescent="0.2">
      <c r="A23" s="157"/>
      <c r="B23" s="116"/>
      <c r="C23" s="157"/>
      <c r="D23" s="115" t="e">
        <f>VLOOKUP(C23,Background!$A$5:$B$9,2,FALSE)</f>
        <v>#N/A</v>
      </c>
      <c r="E23" s="116"/>
      <c r="F23" s="115" t="e">
        <f>VLOOKUP(E23,Background!C$9:$D25,2,FALSE)</f>
        <v>#N/A</v>
      </c>
      <c r="G23" s="115" t="e">
        <f t="shared" si="0"/>
        <v>#N/A</v>
      </c>
      <c r="H23" s="175" t="e">
        <f>VLOOKUP(G23,Background!G$24:$H25,2,FALSE)</f>
        <v>#N/A</v>
      </c>
      <c r="I23" s="116"/>
      <c r="J23" s="156"/>
      <c r="K23" s="157"/>
    </row>
    <row r="24" spans="1:11" x14ac:dyDescent="0.2">
      <c r="A24" s="157"/>
      <c r="B24" s="116"/>
      <c r="C24" s="157"/>
      <c r="D24" s="115" t="e">
        <f>VLOOKUP(C24,Background!$A$5:$B$9,2,FALSE)</f>
        <v>#N/A</v>
      </c>
      <c r="E24" s="116"/>
      <c r="F24" s="115" t="e">
        <f>VLOOKUP(E24,Background!C$9:$D26,2,FALSE)</f>
        <v>#N/A</v>
      </c>
      <c r="G24" s="115" t="e">
        <f t="shared" si="0"/>
        <v>#N/A</v>
      </c>
      <c r="H24" s="175" t="e">
        <f>VLOOKUP(G24,Background!G$24:$H26,2,FALSE)</f>
        <v>#N/A</v>
      </c>
      <c r="I24" s="116"/>
      <c r="J24" s="156"/>
      <c r="K24" s="157"/>
    </row>
    <row r="25" spans="1:11" x14ac:dyDescent="0.2">
      <c r="A25" s="157"/>
      <c r="B25" s="116"/>
      <c r="C25" s="157"/>
      <c r="D25" s="115" t="e">
        <f>VLOOKUP(C25,Background!$A$5:$B$9,2,FALSE)</f>
        <v>#N/A</v>
      </c>
      <c r="E25" s="116"/>
      <c r="F25" s="115" t="e">
        <f>VLOOKUP(E25,Background!C$9:$D27,2,FALSE)</f>
        <v>#N/A</v>
      </c>
      <c r="G25" s="115" t="e">
        <f t="shared" si="0"/>
        <v>#N/A</v>
      </c>
      <c r="H25" s="175" t="e">
        <f>VLOOKUP(G25,Background!G$24:$H27,2,FALSE)</f>
        <v>#N/A</v>
      </c>
      <c r="I25" s="116"/>
      <c r="J25" s="156"/>
      <c r="K25" s="157"/>
    </row>
    <row r="26" spans="1:11" x14ac:dyDescent="0.2">
      <c r="A26" s="157"/>
      <c r="B26" s="116"/>
      <c r="C26" s="157"/>
      <c r="D26" s="115" t="e">
        <f>VLOOKUP(C26,Background!$A$5:$B$9,2,FALSE)</f>
        <v>#N/A</v>
      </c>
      <c r="E26" s="116"/>
      <c r="F26" s="115" t="e">
        <f>VLOOKUP(E26,Background!C$9:$D28,2,FALSE)</f>
        <v>#N/A</v>
      </c>
      <c r="G26" s="115" t="e">
        <f t="shared" si="0"/>
        <v>#N/A</v>
      </c>
      <c r="H26" s="175" t="e">
        <f>VLOOKUP(G26,Background!G$24:$H28,2,FALSE)</f>
        <v>#N/A</v>
      </c>
      <c r="I26" s="116"/>
      <c r="J26" s="156"/>
      <c r="K26" s="157"/>
    </row>
    <row r="27" spans="1:11" x14ac:dyDescent="0.2">
      <c r="A27" s="157"/>
      <c r="B27" s="116"/>
      <c r="C27" s="157"/>
      <c r="D27" s="115" t="e">
        <f>VLOOKUP(C27,Background!$A$5:$B$9,2,FALSE)</f>
        <v>#N/A</v>
      </c>
      <c r="E27" s="116"/>
      <c r="F27" s="115" t="e">
        <f>VLOOKUP(E27,Background!C$9:$D29,2,FALSE)</f>
        <v>#N/A</v>
      </c>
      <c r="G27" s="115" t="e">
        <f t="shared" si="0"/>
        <v>#N/A</v>
      </c>
      <c r="H27" s="175" t="e">
        <f>VLOOKUP(G27,Background!G$24:$H29,2,FALSE)</f>
        <v>#N/A</v>
      </c>
      <c r="I27" s="116"/>
      <c r="J27" s="156"/>
      <c r="K27" s="157"/>
    </row>
    <row r="28" spans="1:11" x14ac:dyDescent="0.2">
      <c r="A28" s="157"/>
      <c r="B28" s="116"/>
      <c r="C28" s="157"/>
      <c r="D28" s="115" t="e">
        <f>VLOOKUP(C28,Background!$A$5:$B$9,2,FALSE)</f>
        <v>#N/A</v>
      </c>
      <c r="E28" s="116"/>
      <c r="F28" s="115" t="e">
        <f>VLOOKUP(E28,Background!C$9:$D30,2,FALSE)</f>
        <v>#N/A</v>
      </c>
      <c r="G28" s="115" t="e">
        <f t="shared" si="0"/>
        <v>#N/A</v>
      </c>
      <c r="H28" s="175" t="e">
        <f>VLOOKUP(G28,Background!G$24:$H30,2,FALSE)</f>
        <v>#N/A</v>
      </c>
      <c r="I28" s="116"/>
      <c r="J28" s="156"/>
      <c r="K28" s="157"/>
    </row>
    <row r="29" spans="1:11" x14ac:dyDescent="0.2">
      <c r="A29" s="157"/>
      <c r="B29" s="116"/>
      <c r="C29" s="157"/>
      <c r="D29" s="115" t="e">
        <f>VLOOKUP(C29,Background!$A$5:$B$9,2,FALSE)</f>
        <v>#N/A</v>
      </c>
      <c r="E29" s="116"/>
      <c r="F29" s="115" t="e">
        <f>VLOOKUP(E29,Background!C$9:$D31,2,FALSE)</f>
        <v>#N/A</v>
      </c>
      <c r="G29" s="115" t="e">
        <f t="shared" si="0"/>
        <v>#N/A</v>
      </c>
      <c r="H29" s="175" t="e">
        <f>VLOOKUP(G29,Background!G$24:$H31,2,FALSE)</f>
        <v>#N/A</v>
      </c>
      <c r="I29" s="116"/>
      <c r="J29" s="156"/>
      <c r="K29" s="157"/>
    </row>
    <row r="30" spans="1:11" x14ac:dyDescent="0.2">
      <c r="A30" s="157"/>
      <c r="B30" s="116"/>
      <c r="C30" s="157"/>
      <c r="D30" s="115" t="e">
        <f>VLOOKUP(C30,Background!$A$5:$B$9,2,FALSE)</f>
        <v>#N/A</v>
      </c>
      <c r="E30" s="116"/>
      <c r="F30" s="115" t="e">
        <f>VLOOKUP(E30,Background!C$9:$D32,2,FALSE)</f>
        <v>#N/A</v>
      </c>
      <c r="G30" s="115" t="e">
        <f t="shared" si="0"/>
        <v>#N/A</v>
      </c>
      <c r="H30" s="175" t="e">
        <f>VLOOKUP(G30,Background!G$24:$H32,2,FALSE)</f>
        <v>#N/A</v>
      </c>
      <c r="I30" s="116"/>
      <c r="J30" s="156"/>
      <c r="K30" s="157"/>
    </row>
    <row r="31" spans="1:11" x14ac:dyDescent="0.2">
      <c r="A31" s="157"/>
      <c r="B31" s="116"/>
      <c r="C31" s="157"/>
      <c r="D31" s="115" t="e">
        <f>VLOOKUP(C31,Background!$A$5:$B$9,2,FALSE)</f>
        <v>#N/A</v>
      </c>
      <c r="E31" s="116"/>
      <c r="F31" s="115" t="e">
        <f>VLOOKUP(E31,Background!C$9:$D33,2,FALSE)</f>
        <v>#N/A</v>
      </c>
      <c r="G31" s="115" t="e">
        <f t="shared" si="0"/>
        <v>#N/A</v>
      </c>
      <c r="H31" s="175" t="e">
        <f>VLOOKUP(G31,Background!G$24:$H33,2,FALSE)</f>
        <v>#N/A</v>
      </c>
      <c r="I31" s="116"/>
      <c r="J31" s="156"/>
      <c r="K31" s="157"/>
    </row>
    <row r="32" spans="1:11" x14ac:dyDescent="0.2">
      <c r="A32" s="157"/>
      <c r="B32" s="116"/>
      <c r="C32" s="157"/>
      <c r="D32" s="115" t="e">
        <f>VLOOKUP(C32,Background!$A$5:$B$9,2,FALSE)</f>
        <v>#N/A</v>
      </c>
      <c r="E32" s="116"/>
      <c r="F32" s="115" t="e">
        <f>VLOOKUP(E32,Background!C$9:$D34,2,FALSE)</f>
        <v>#N/A</v>
      </c>
      <c r="G32" s="115" t="e">
        <f t="shared" si="0"/>
        <v>#N/A</v>
      </c>
      <c r="H32" s="175" t="e">
        <f>VLOOKUP(G32,Background!G$24:$H34,2,FALSE)</f>
        <v>#N/A</v>
      </c>
      <c r="I32" s="116"/>
      <c r="J32" s="156"/>
      <c r="K32" s="157"/>
    </row>
    <row r="33" spans="1:11" x14ac:dyDescent="0.2">
      <c r="A33" s="157"/>
      <c r="B33" s="116"/>
      <c r="C33" s="157"/>
      <c r="D33" s="115" t="e">
        <f>VLOOKUP(C33,Background!$A$5:$B$9,2,FALSE)</f>
        <v>#N/A</v>
      </c>
      <c r="E33" s="116"/>
      <c r="F33" s="115" t="e">
        <f>VLOOKUP(E33,Background!C$9:$D35,2,FALSE)</f>
        <v>#N/A</v>
      </c>
      <c r="G33" s="115" t="e">
        <f t="shared" si="0"/>
        <v>#N/A</v>
      </c>
      <c r="H33" s="175" t="e">
        <f>VLOOKUP(G33,Background!G$24:$H35,2,FALSE)</f>
        <v>#N/A</v>
      </c>
      <c r="I33" s="116"/>
      <c r="J33" s="156"/>
      <c r="K33" s="157"/>
    </row>
    <row r="34" spans="1:11" x14ac:dyDescent="0.2">
      <c r="A34" s="157"/>
      <c r="B34" s="116"/>
      <c r="C34" s="157"/>
      <c r="D34" s="115" t="e">
        <f>VLOOKUP(C34,Background!$A$5:$B$9,2,FALSE)</f>
        <v>#N/A</v>
      </c>
      <c r="E34" s="116"/>
      <c r="F34" s="115" t="e">
        <f>VLOOKUP(E34,Background!C$9:$D36,2,FALSE)</f>
        <v>#N/A</v>
      </c>
      <c r="G34" s="115" t="e">
        <f t="shared" si="0"/>
        <v>#N/A</v>
      </c>
      <c r="H34" s="175" t="e">
        <f>VLOOKUP(G34,Background!G$24:$H36,2,FALSE)</f>
        <v>#N/A</v>
      </c>
      <c r="I34" s="116"/>
      <c r="J34" s="156"/>
      <c r="K34" s="157"/>
    </row>
    <row r="35" spans="1:11" x14ac:dyDescent="0.2">
      <c r="A35" s="157"/>
      <c r="B35" s="116"/>
      <c r="C35" s="157"/>
      <c r="D35" s="115" t="e">
        <f>VLOOKUP(C35,Background!$A$5:$B$9,2,FALSE)</f>
        <v>#N/A</v>
      </c>
      <c r="E35" s="116"/>
      <c r="F35" s="115" t="e">
        <f>VLOOKUP(E35,Background!C$9:$D37,2,FALSE)</f>
        <v>#N/A</v>
      </c>
      <c r="G35" s="115" t="e">
        <f t="shared" si="0"/>
        <v>#N/A</v>
      </c>
      <c r="H35" s="175" t="e">
        <f>VLOOKUP(G35,Background!G$24:$H37,2,FALSE)</f>
        <v>#N/A</v>
      </c>
      <c r="I35" s="116"/>
      <c r="J35" s="156"/>
      <c r="K35" s="157"/>
    </row>
    <row r="36" spans="1:11" x14ac:dyDescent="0.2">
      <c r="A36" s="157"/>
      <c r="B36" s="116"/>
      <c r="C36" s="157"/>
      <c r="D36" s="115" t="e">
        <f>VLOOKUP(C36,Background!$A$5:$B$9,2,FALSE)</f>
        <v>#N/A</v>
      </c>
      <c r="E36" s="116"/>
      <c r="F36" s="115" t="e">
        <f>VLOOKUP(E36,Background!C$9:$D38,2,FALSE)</f>
        <v>#N/A</v>
      </c>
      <c r="G36" s="115" t="e">
        <f t="shared" si="0"/>
        <v>#N/A</v>
      </c>
      <c r="H36" s="175" t="e">
        <f>VLOOKUP(G36,Background!G$24:$H38,2,FALSE)</f>
        <v>#N/A</v>
      </c>
      <c r="I36" s="116"/>
      <c r="J36" s="156"/>
      <c r="K36" s="157"/>
    </row>
    <row r="37" spans="1:11" x14ac:dyDescent="0.2">
      <c r="A37" s="157"/>
      <c r="B37" s="116"/>
      <c r="C37" s="157"/>
      <c r="D37" s="115" t="e">
        <f>VLOOKUP(C37,Background!$A$5:$B$9,2,FALSE)</f>
        <v>#N/A</v>
      </c>
      <c r="E37" s="116"/>
      <c r="F37" s="115" t="e">
        <f>VLOOKUP(E37,Background!C$9:$D39,2,FALSE)</f>
        <v>#N/A</v>
      </c>
      <c r="G37" s="115" t="e">
        <f t="shared" si="0"/>
        <v>#N/A</v>
      </c>
      <c r="H37" s="175" t="e">
        <f>VLOOKUP(G37,Background!G$24:$H39,2,FALSE)</f>
        <v>#N/A</v>
      </c>
      <c r="I37" s="116"/>
      <c r="J37" s="156"/>
      <c r="K37" s="157"/>
    </row>
    <row r="38" spans="1:11" x14ac:dyDescent="0.2">
      <c r="A38" s="157"/>
      <c r="B38" s="116"/>
      <c r="C38" s="157"/>
      <c r="D38" s="115" t="e">
        <f>VLOOKUP(C38,Background!$A$5:$B$9,2,FALSE)</f>
        <v>#N/A</v>
      </c>
      <c r="E38" s="116"/>
      <c r="F38" s="115" t="e">
        <f>VLOOKUP(E38,Background!C$9:$D40,2,FALSE)</f>
        <v>#N/A</v>
      </c>
      <c r="G38" s="115" t="e">
        <f t="shared" si="0"/>
        <v>#N/A</v>
      </c>
      <c r="H38" s="175" t="e">
        <f>VLOOKUP(G38,Background!G$24:$H40,2,FALSE)</f>
        <v>#N/A</v>
      </c>
      <c r="I38" s="116"/>
      <c r="J38" s="156"/>
      <c r="K38" s="157"/>
    </row>
    <row r="39" spans="1:11" x14ac:dyDescent="0.2">
      <c r="A39" s="157"/>
      <c r="B39" s="116"/>
      <c r="C39" s="157"/>
      <c r="D39" s="115" t="e">
        <f>VLOOKUP(C39,Background!$A$5:$B$9,2,FALSE)</f>
        <v>#N/A</v>
      </c>
      <c r="E39" s="116"/>
      <c r="F39" s="115" t="e">
        <f>VLOOKUP(E39,Background!C$9:$D41,2,FALSE)</f>
        <v>#N/A</v>
      </c>
      <c r="G39" s="115" t="e">
        <f t="shared" si="0"/>
        <v>#N/A</v>
      </c>
      <c r="H39" s="175" t="e">
        <f>VLOOKUP(G39,Background!G$24:$H41,2,FALSE)</f>
        <v>#N/A</v>
      </c>
      <c r="I39" s="116"/>
      <c r="J39" s="156"/>
      <c r="K39" s="157"/>
    </row>
    <row r="40" spans="1:11" x14ac:dyDescent="0.2">
      <c r="A40" s="157"/>
      <c r="B40" s="116"/>
      <c r="C40" s="157"/>
      <c r="D40" s="115" t="e">
        <f>VLOOKUP(C40,Background!$A$5:$B$9,2,FALSE)</f>
        <v>#N/A</v>
      </c>
      <c r="E40" s="116"/>
      <c r="F40" s="115" t="e">
        <f>VLOOKUP(E40,Background!C$9:$D42,2,FALSE)</f>
        <v>#N/A</v>
      </c>
      <c r="G40" s="115" t="e">
        <f t="shared" si="0"/>
        <v>#N/A</v>
      </c>
      <c r="H40" s="175" t="e">
        <f>VLOOKUP(G40,Background!G$24:$H42,2,FALSE)</f>
        <v>#N/A</v>
      </c>
      <c r="I40" s="116"/>
      <c r="J40" s="156"/>
      <c r="K40" s="157"/>
    </row>
    <row r="41" spans="1:11" x14ac:dyDescent="0.2">
      <c r="A41" s="157"/>
      <c r="B41" s="116"/>
      <c r="C41" s="157"/>
      <c r="D41" s="115" t="e">
        <f>VLOOKUP(C41,Background!$A$5:$B$9,2,FALSE)</f>
        <v>#N/A</v>
      </c>
      <c r="E41" s="116"/>
      <c r="F41" s="115" t="e">
        <f>VLOOKUP(E41,Background!C$9:$D43,2,FALSE)</f>
        <v>#N/A</v>
      </c>
      <c r="G41" s="115" t="e">
        <f t="shared" si="0"/>
        <v>#N/A</v>
      </c>
      <c r="H41" s="175" t="e">
        <f>VLOOKUP(G41,Background!G$24:$H43,2,FALSE)</f>
        <v>#N/A</v>
      </c>
      <c r="I41" s="116"/>
      <c r="J41" s="156"/>
      <c r="K41" s="157"/>
    </row>
    <row r="42" spans="1:11" x14ac:dyDescent="0.2">
      <c r="A42" s="157"/>
      <c r="B42" s="116"/>
      <c r="C42" s="157"/>
      <c r="D42" s="115" t="e">
        <f>VLOOKUP(C42,Background!$A$5:$B$9,2,FALSE)</f>
        <v>#N/A</v>
      </c>
      <c r="E42" s="116"/>
      <c r="F42" s="115" t="e">
        <f>VLOOKUP(E42,Background!C$9:$D44,2,FALSE)</f>
        <v>#N/A</v>
      </c>
      <c r="G42" s="115" t="e">
        <f t="shared" si="0"/>
        <v>#N/A</v>
      </c>
      <c r="H42" s="175" t="e">
        <f>VLOOKUP(G42,Background!G$24:$H44,2,FALSE)</f>
        <v>#N/A</v>
      </c>
      <c r="I42" s="116"/>
      <c r="J42" s="156"/>
      <c r="K42" s="157"/>
    </row>
    <row r="43" spans="1:11" x14ac:dyDescent="0.2">
      <c r="A43" s="157"/>
      <c r="B43" s="116"/>
      <c r="C43" s="157"/>
      <c r="D43" s="115" t="e">
        <f>VLOOKUP(C43,Background!$A$5:$B$9,2,FALSE)</f>
        <v>#N/A</v>
      </c>
      <c r="E43" s="116"/>
      <c r="F43" s="115" t="e">
        <f>VLOOKUP(E43,Background!C$9:$D45,2,FALSE)</f>
        <v>#N/A</v>
      </c>
      <c r="G43" s="115" t="e">
        <f t="shared" si="0"/>
        <v>#N/A</v>
      </c>
      <c r="H43" s="175" t="e">
        <f>VLOOKUP(G43,Background!G$24:$H45,2,FALSE)</f>
        <v>#N/A</v>
      </c>
      <c r="I43" s="116"/>
      <c r="J43" s="156"/>
      <c r="K43" s="157"/>
    </row>
    <row r="44" spans="1:11" x14ac:dyDescent="0.2">
      <c r="A44" s="157"/>
      <c r="B44" s="116"/>
      <c r="C44" s="157"/>
      <c r="D44" s="115" t="e">
        <f>VLOOKUP(C44,Background!$A$5:$B$9,2,FALSE)</f>
        <v>#N/A</v>
      </c>
      <c r="E44" s="116"/>
      <c r="F44" s="115" t="e">
        <f>VLOOKUP(E44,Background!C$9:$D46,2,FALSE)</f>
        <v>#N/A</v>
      </c>
      <c r="G44" s="115" t="e">
        <f t="shared" si="0"/>
        <v>#N/A</v>
      </c>
      <c r="H44" s="175" t="e">
        <f>VLOOKUP(G44,Background!G$24:$H46,2,FALSE)</f>
        <v>#N/A</v>
      </c>
      <c r="I44" s="116"/>
      <c r="J44" s="156"/>
      <c r="K44" s="157"/>
    </row>
    <row r="45" spans="1:11" x14ac:dyDescent="0.2">
      <c r="A45" s="157"/>
      <c r="B45" s="116"/>
      <c r="C45" s="157"/>
      <c r="D45" s="115" t="e">
        <f>VLOOKUP(C45,Background!$A$5:$B$9,2,FALSE)</f>
        <v>#N/A</v>
      </c>
      <c r="E45" s="116"/>
      <c r="F45" s="115" t="e">
        <f>VLOOKUP(E45,Background!C$9:$D47,2,FALSE)</f>
        <v>#N/A</v>
      </c>
      <c r="G45" s="115" t="e">
        <f t="shared" si="0"/>
        <v>#N/A</v>
      </c>
      <c r="H45" s="175" t="e">
        <f>VLOOKUP(G45,Background!G$24:$H47,2,FALSE)</f>
        <v>#N/A</v>
      </c>
      <c r="I45" s="116"/>
      <c r="J45" s="156"/>
      <c r="K45" s="157"/>
    </row>
    <row r="46" spans="1:11" x14ac:dyDescent="0.2">
      <c r="A46" s="157"/>
      <c r="B46" s="116"/>
      <c r="C46" s="157"/>
      <c r="D46" s="115" t="e">
        <f>VLOOKUP(C46,Background!$A$5:$B$9,2,FALSE)</f>
        <v>#N/A</v>
      </c>
      <c r="E46" s="116"/>
      <c r="F46" s="115" t="e">
        <f>VLOOKUP(E46,Background!C$9:$D48,2,FALSE)</f>
        <v>#N/A</v>
      </c>
      <c r="G46" s="115" t="e">
        <f t="shared" si="0"/>
        <v>#N/A</v>
      </c>
      <c r="H46" s="175" t="e">
        <f>VLOOKUP(G46,Background!G$24:$H48,2,FALSE)</f>
        <v>#N/A</v>
      </c>
      <c r="I46" s="116"/>
      <c r="J46" s="156"/>
      <c r="K46" s="157"/>
    </row>
    <row r="47" spans="1:11" x14ac:dyDescent="0.2">
      <c r="A47" s="157"/>
      <c r="B47" s="116"/>
      <c r="C47" s="157"/>
      <c r="D47" s="115" t="e">
        <f>VLOOKUP(C47,Background!$A$5:$B$9,2,FALSE)</f>
        <v>#N/A</v>
      </c>
      <c r="E47" s="116"/>
      <c r="F47" s="115" t="e">
        <f>VLOOKUP(E47,Background!C$9:$D49,2,FALSE)</f>
        <v>#N/A</v>
      </c>
      <c r="G47" s="115" t="e">
        <f t="shared" si="0"/>
        <v>#N/A</v>
      </c>
      <c r="H47" s="175" t="e">
        <f>VLOOKUP(G47,Background!G$24:$H49,2,FALSE)</f>
        <v>#N/A</v>
      </c>
      <c r="I47" s="116"/>
      <c r="J47" s="156"/>
      <c r="K47" s="157"/>
    </row>
    <row r="48" spans="1:11" x14ac:dyDescent="0.2">
      <c r="A48" s="157"/>
      <c r="B48" s="116"/>
      <c r="C48" s="157"/>
      <c r="D48" s="115" t="e">
        <f>VLOOKUP(C48,Background!$A$5:$B$9,2,FALSE)</f>
        <v>#N/A</v>
      </c>
      <c r="E48" s="116"/>
      <c r="F48" s="115" t="e">
        <f>VLOOKUP(E48,Background!C$9:$D50,2,FALSE)</f>
        <v>#N/A</v>
      </c>
      <c r="G48" s="115" t="e">
        <f t="shared" si="0"/>
        <v>#N/A</v>
      </c>
      <c r="H48" s="175" t="e">
        <f>VLOOKUP(G48,Background!G$24:$H50,2,FALSE)</f>
        <v>#N/A</v>
      </c>
      <c r="I48" s="116"/>
      <c r="J48" s="156"/>
      <c r="K48" s="157"/>
    </row>
    <row r="49" spans="1:11" x14ac:dyDescent="0.2">
      <c r="A49" s="157"/>
      <c r="B49" s="116"/>
      <c r="C49" s="157"/>
      <c r="D49" s="115" t="e">
        <f>VLOOKUP(C49,Background!$A$5:$B$9,2,FALSE)</f>
        <v>#N/A</v>
      </c>
      <c r="E49" s="116"/>
      <c r="F49" s="115" t="e">
        <f>VLOOKUP(E49,Background!C$9:$D51,2,FALSE)</f>
        <v>#N/A</v>
      </c>
      <c r="G49" s="115" t="e">
        <f t="shared" si="0"/>
        <v>#N/A</v>
      </c>
      <c r="H49" s="175" t="e">
        <f>VLOOKUP(G49,Background!G$24:$H51,2,FALSE)</f>
        <v>#N/A</v>
      </c>
      <c r="I49" s="116"/>
      <c r="J49" s="156"/>
      <c r="K49" s="157"/>
    </row>
    <row r="50" spans="1:11" x14ac:dyDescent="0.2">
      <c r="A50" s="157"/>
      <c r="B50" s="116"/>
      <c r="C50" s="162"/>
      <c r="D50" s="116"/>
      <c r="E50" s="116"/>
      <c r="F50" s="115" t="e">
        <f>VLOOKUP(E50,Background!C$9:$D52,2,FALSE)</f>
        <v>#N/A</v>
      </c>
      <c r="G50" s="116"/>
      <c r="H50" s="173"/>
      <c r="I50" s="116"/>
      <c r="J50" s="156"/>
      <c r="K50" s="157"/>
    </row>
    <row r="51" spans="1:11" x14ac:dyDescent="0.2">
      <c r="J51" s="113"/>
      <c r="K51" s="157"/>
    </row>
    <row r="52" spans="1:11" x14ac:dyDescent="0.2">
      <c r="J52" s="113"/>
      <c r="K52" s="157"/>
    </row>
    <row r="53" spans="1:11" x14ac:dyDescent="0.2">
      <c r="J53" s="113"/>
      <c r="K53" s="157"/>
    </row>
    <row r="54" spans="1:11" x14ac:dyDescent="0.2">
      <c r="J54" s="113"/>
      <c r="K54" s="157"/>
    </row>
    <row r="55" spans="1:11" x14ac:dyDescent="0.2">
      <c r="J55" s="113"/>
      <c r="K55" s="157"/>
    </row>
    <row r="56" spans="1:11" x14ac:dyDescent="0.2">
      <c r="J56" s="113"/>
      <c r="K56" s="157"/>
    </row>
    <row r="57" spans="1:11" x14ac:dyDescent="0.2">
      <c r="K57" s="157"/>
    </row>
    <row r="58" spans="1:11" x14ac:dyDescent="0.2">
      <c r="K58" s="157"/>
    </row>
    <row r="59" spans="1:11" x14ac:dyDescent="0.2">
      <c r="K59" s="157"/>
    </row>
    <row r="60" spans="1:11" x14ac:dyDescent="0.2">
      <c r="K60" s="157"/>
    </row>
    <row r="61" spans="1:11" x14ac:dyDescent="0.2">
      <c r="K61" s="157"/>
    </row>
    <row r="62" spans="1:11" x14ac:dyDescent="0.2">
      <c r="K62" s="157"/>
    </row>
    <row r="63" spans="1:11" x14ac:dyDescent="0.2">
      <c r="K63" s="157"/>
    </row>
    <row r="64" spans="1:11" x14ac:dyDescent="0.2">
      <c r="K64" s="157"/>
    </row>
    <row r="65" spans="11:11" x14ac:dyDescent="0.2">
      <c r="K65" s="157"/>
    </row>
    <row r="66" spans="11:11" x14ac:dyDescent="0.2">
      <c r="K66" s="157"/>
    </row>
    <row r="67" spans="11:11" x14ac:dyDescent="0.2">
      <c r="K67" s="157"/>
    </row>
  </sheetData>
  <mergeCells count="8">
    <mergeCell ref="A1:A2"/>
    <mergeCell ref="I1:I2"/>
    <mergeCell ref="K1:K2"/>
    <mergeCell ref="L1:L2"/>
    <mergeCell ref="C1:H1"/>
    <mergeCell ref="J1:J2"/>
    <mergeCell ref="G2:H2"/>
    <mergeCell ref="B1:B2"/>
  </mergeCells>
  <conditionalFormatting sqref="J3:J56">
    <cfRule type="cellIs" dxfId="44" priority="44" operator="equal">
      <formula>"High"</formula>
    </cfRule>
    <cfRule type="cellIs" dxfId="43" priority="45" operator="equal">
      <formula>"Medium"</formula>
    </cfRule>
    <cfRule type="cellIs" dxfId="42" priority="46" operator="equal">
      <formula>"Low"</formula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Background!$A$5:$A$10</xm:f>
          </x14:formula1>
          <xm:sqref>C3:C50</xm:sqref>
        </x14:dataValidation>
        <x14:dataValidation type="list" allowBlank="1" showInputMessage="1" showErrorMessage="1">
          <x14:formula1>
            <xm:f>Background!$C$5:$C$10</xm:f>
          </x14:formula1>
          <xm:sqref>E3:E50</xm:sqref>
        </x14:dataValidation>
        <x14:dataValidation type="list" allowBlank="1" showInputMessage="1" showErrorMessage="1">
          <x14:formula1>
            <xm:f>Background!$E$5:$E$9</xm:f>
          </x14:formula1>
          <xm:sqref>J3:J50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X171"/>
  <sheetViews>
    <sheetView workbookViewId="0">
      <selection activeCell="N20" sqref="N20"/>
    </sheetView>
  </sheetViews>
  <sheetFormatPr defaultRowHeight="12.75" outlineLevelRow="1" x14ac:dyDescent="0.2"/>
  <cols>
    <col min="1" max="1" width="11.5703125" style="4" customWidth="1"/>
    <col min="2" max="2" width="9.140625" style="4"/>
    <col min="3" max="3" width="12.7109375" style="4" customWidth="1"/>
    <col min="4" max="4" width="13" style="4" customWidth="1"/>
    <col min="5" max="13" width="9.140625" style="4"/>
    <col min="14" max="14" width="11.42578125" style="4" customWidth="1"/>
    <col min="15" max="22" width="9.140625" style="4"/>
    <col min="23" max="23" width="9.140625" style="4" customWidth="1"/>
    <col min="24" max="16384" width="9.140625" style="4"/>
  </cols>
  <sheetData>
    <row r="1" spans="1:10" ht="18.75" x14ac:dyDescent="0.3">
      <c r="A1" s="143" t="s">
        <v>212</v>
      </c>
      <c r="D1" s="428" t="s">
        <v>211</v>
      </c>
      <c r="E1" s="429"/>
      <c r="F1" s="430"/>
      <c r="G1" s="430"/>
      <c r="H1" s="142"/>
      <c r="J1" s="146"/>
    </row>
    <row r="3" spans="1:10" ht="15.75" outlineLevel="1" x14ac:dyDescent="0.2">
      <c r="A3" s="420" t="s">
        <v>210</v>
      </c>
      <c r="B3" s="420"/>
      <c r="C3" s="420"/>
      <c r="D3" s="420"/>
      <c r="E3" s="420"/>
      <c r="F3" s="420"/>
      <c r="G3" s="420"/>
      <c r="H3" s="420"/>
      <c r="I3" s="420"/>
      <c r="J3" s="420"/>
    </row>
    <row r="4" spans="1:10" ht="15" outlineLevel="1" x14ac:dyDescent="0.2">
      <c r="A4" s="424" t="s">
        <v>209</v>
      </c>
      <c r="B4" s="424"/>
      <c r="C4" s="424"/>
      <c r="D4" s="408"/>
      <c r="E4" s="408"/>
      <c r="F4" s="408"/>
      <c r="G4" s="408"/>
      <c r="H4" s="408"/>
      <c r="I4" s="408"/>
      <c r="J4" s="408"/>
    </row>
    <row r="5" spans="1:10" ht="15" outlineLevel="1" x14ac:dyDescent="0.2">
      <c r="A5" s="424" t="s">
        <v>208</v>
      </c>
      <c r="B5" s="424"/>
      <c r="C5" s="424"/>
      <c r="D5" s="408"/>
      <c r="E5" s="408"/>
      <c r="F5" s="408"/>
      <c r="G5" s="408"/>
      <c r="H5" s="408"/>
      <c r="I5" s="408"/>
      <c r="J5" s="408"/>
    </row>
    <row r="6" spans="1:10" ht="15" outlineLevel="1" x14ac:dyDescent="0.2">
      <c r="A6" s="424" t="s">
        <v>207</v>
      </c>
      <c r="B6" s="424"/>
      <c r="C6" s="424"/>
      <c r="D6" s="408"/>
      <c r="E6" s="408"/>
      <c r="F6" s="408"/>
      <c r="G6" s="408"/>
      <c r="H6" s="408"/>
      <c r="I6" s="408"/>
      <c r="J6" s="408"/>
    </row>
    <row r="7" spans="1:10" ht="15" outlineLevel="1" x14ac:dyDescent="0.2">
      <c r="A7" s="424" t="s">
        <v>206</v>
      </c>
      <c r="B7" s="424"/>
      <c r="C7" s="424"/>
      <c r="D7" s="408"/>
      <c r="E7" s="408"/>
      <c r="F7" s="408"/>
      <c r="G7" s="408"/>
      <c r="H7" s="408"/>
      <c r="I7" s="408"/>
      <c r="J7" s="408"/>
    </row>
    <row r="8" spans="1:10" ht="15" outlineLevel="1" x14ac:dyDescent="0.2">
      <c r="A8" s="424" t="s">
        <v>205</v>
      </c>
      <c r="B8" s="424"/>
      <c r="C8" s="424"/>
      <c r="D8" s="408"/>
      <c r="E8" s="408"/>
      <c r="F8" s="408"/>
      <c r="G8" s="408"/>
      <c r="H8" s="408"/>
      <c r="I8" s="408"/>
      <c r="J8" s="408"/>
    </row>
    <row r="9" spans="1:10" ht="15" outlineLevel="1" x14ac:dyDescent="0.2">
      <c r="A9" s="424" t="s">
        <v>204</v>
      </c>
      <c r="B9" s="424"/>
      <c r="C9" s="424"/>
      <c r="D9" s="408"/>
      <c r="E9" s="408"/>
      <c r="F9" s="408"/>
      <c r="G9" s="408"/>
      <c r="H9" s="408"/>
      <c r="I9" s="408"/>
      <c r="J9" s="408"/>
    </row>
    <row r="10" spans="1:10" ht="15" outlineLevel="1" x14ac:dyDescent="0.2">
      <c r="A10" s="424" t="s">
        <v>203</v>
      </c>
      <c r="B10" s="424"/>
      <c r="C10" s="424"/>
      <c r="D10" s="408"/>
      <c r="E10" s="408"/>
      <c r="F10" s="408"/>
      <c r="G10" s="408"/>
      <c r="H10" s="408"/>
      <c r="I10" s="408"/>
      <c r="J10" s="408"/>
    </row>
    <row r="11" spans="1:10" ht="15" outlineLevel="1" x14ac:dyDescent="0.2">
      <c r="A11" s="424" t="s">
        <v>202</v>
      </c>
      <c r="B11" s="424"/>
      <c r="C11" s="424"/>
      <c r="D11" s="408"/>
      <c r="E11" s="408"/>
      <c r="F11" s="408"/>
      <c r="G11" s="408"/>
      <c r="H11" s="408"/>
      <c r="I11" s="408"/>
      <c r="J11" s="408"/>
    </row>
    <row r="12" spans="1:10" outlineLevel="1" x14ac:dyDescent="0.2">
      <c r="A12" s="424" t="s">
        <v>201</v>
      </c>
      <c r="B12" s="424"/>
      <c r="C12" s="141" t="s">
        <v>200</v>
      </c>
      <c r="D12" s="408"/>
      <c r="E12" s="408"/>
      <c r="F12" s="408"/>
      <c r="G12" s="408"/>
      <c r="H12" s="408"/>
      <c r="I12" s="408"/>
      <c r="J12" s="408"/>
    </row>
    <row r="13" spans="1:10" outlineLevel="1" x14ac:dyDescent="0.2">
      <c r="A13" s="424"/>
      <c r="B13" s="424"/>
      <c r="C13" s="141" t="s">
        <v>199</v>
      </c>
      <c r="D13" s="408"/>
      <c r="E13" s="408"/>
      <c r="F13" s="408"/>
      <c r="G13" s="408"/>
      <c r="H13" s="408"/>
      <c r="I13" s="408"/>
      <c r="J13" s="408"/>
    </row>
    <row r="14" spans="1:10" outlineLevel="1" x14ac:dyDescent="0.2">
      <c r="A14" s="424"/>
      <c r="B14" s="424"/>
      <c r="C14" s="141" t="s">
        <v>198</v>
      </c>
      <c r="D14" s="408"/>
      <c r="E14" s="408"/>
      <c r="F14" s="408"/>
      <c r="G14" s="408"/>
      <c r="H14" s="408"/>
      <c r="I14" s="408"/>
      <c r="J14" s="408"/>
    </row>
    <row r="15" spans="1:10" outlineLevel="1" x14ac:dyDescent="0.2">
      <c r="A15" s="424"/>
      <c r="B15" s="424"/>
      <c r="C15" s="141" t="s">
        <v>197</v>
      </c>
      <c r="D15" s="408"/>
      <c r="E15" s="408"/>
      <c r="F15" s="408"/>
      <c r="G15" s="408"/>
      <c r="H15" s="408"/>
      <c r="I15" s="408"/>
      <c r="J15" s="408"/>
    </row>
    <row r="16" spans="1:10" ht="15" outlineLevel="1" x14ac:dyDescent="0.2">
      <c r="A16" s="406" t="s">
        <v>196</v>
      </c>
      <c r="B16" s="406"/>
      <c r="C16" s="406"/>
      <c r="D16" s="408"/>
      <c r="E16" s="408"/>
      <c r="F16" s="408"/>
      <c r="G16" s="408"/>
      <c r="H16" s="408"/>
      <c r="I16" s="408"/>
      <c r="J16" s="408"/>
    </row>
    <row r="17" spans="1:14" ht="15" x14ac:dyDescent="0.2">
      <c r="A17" s="140"/>
      <c r="B17" s="140"/>
      <c r="C17" s="140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</row>
    <row r="18" spans="1:14" ht="15.75" outlineLevel="1" x14ac:dyDescent="0.2">
      <c r="A18" s="420" t="s">
        <v>259</v>
      </c>
      <c r="B18" s="420"/>
      <c r="C18" s="420"/>
      <c r="D18" s="420"/>
      <c r="E18" s="420"/>
      <c r="F18" s="420"/>
      <c r="G18" s="420"/>
      <c r="H18" s="420"/>
      <c r="I18" s="420"/>
      <c r="J18" s="420"/>
    </row>
    <row r="19" spans="1:14" ht="15" outlineLevel="1" x14ac:dyDescent="0.2">
      <c r="A19" s="406" t="s">
        <v>195</v>
      </c>
      <c r="B19" s="406"/>
      <c r="C19" s="406"/>
      <c r="D19" s="408"/>
      <c r="E19" s="408"/>
      <c r="F19" s="408"/>
      <c r="G19" s="408"/>
      <c r="H19" s="408"/>
      <c r="I19" s="408"/>
      <c r="J19" s="408"/>
    </row>
    <row r="20" spans="1:14" ht="15" outlineLevel="1" x14ac:dyDescent="0.2">
      <c r="A20" s="406" t="s">
        <v>194</v>
      </c>
      <c r="B20" s="406"/>
      <c r="C20" s="406"/>
      <c r="D20" s="408"/>
      <c r="E20" s="408"/>
      <c r="F20" s="408"/>
      <c r="G20" s="408"/>
      <c r="H20" s="408"/>
      <c r="I20" s="408"/>
      <c r="J20" s="408"/>
    </row>
    <row r="21" spans="1:14" ht="15" outlineLevel="1" x14ac:dyDescent="0.2">
      <c r="A21" s="406" t="s">
        <v>193</v>
      </c>
      <c r="B21" s="406"/>
      <c r="C21" s="406"/>
      <c r="D21" s="408"/>
      <c r="E21" s="408"/>
      <c r="F21" s="408"/>
      <c r="G21" s="408"/>
      <c r="H21" s="408"/>
      <c r="I21" s="408"/>
      <c r="J21" s="408"/>
    </row>
    <row r="22" spans="1:14" ht="15" outlineLevel="1" x14ac:dyDescent="0.2">
      <c r="A22" s="406" t="s">
        <v>192</v>
      </c>
      <c r="B22" s="406"/>
      <c r="C22" s="406"/>
      <c r="D22" s="408"/>
      <c r="E22" s="408"/>
      <c r="F22" s="408"/>
      <c r="G22" s="408"/>
      <c r="H22" s="408"/>
      <c r="I22" s="408"/>
      <c r="J22" s="408"/>
    </row>
    <row r="23" spans="1:14" outlineLevel="1" x14ac:dyDescent="0.2"/>
    <row r="24" spans="1:14" ht="15.75" outlineLevel="1" x14ac:dyDescent="0.2">
      <c r="A24" s="420" t="s">
        <v>260</v>
      </c>
      <c r="B24" s="420"/>
      <c r="C24" s="420"/>
      <c r="D24" s="420"/>
      <c r="E24" s="420"/>
      <c r="F24" s="420"/>
      <c r="G24" s="420"/>
      <c r="H24" s="420"/>
      <c r="I24" s="420"/>
      <c r="J24" s="420"/>
    </row>
    <row r="25" spans="1:14" ht="15" outlineLevel="1" x14ac:dyDescent="0.2">
      <c r="A25" s="425">
        <v>1</v>
      </c>
      <c r="B25" s="426"/>
      <c r="C25" s="426"/>
      <c r="D25" s="426"/>
      <c r="E25" s="426"/>
      <c r="F25" s="426"/>
      <c r="G25" s="426"/>
      <c r="H25" s="426"/>
      <c r="I25" s="426"/>
      <c r="J25" s="427"/>
    </row>
    <row r="26" spans="1:14" ht="15" outlineLevel="1" x14ac:dyDescent="0.2">
      <c r="A26" s="425">
        <v>2</v>
      </c>
      <c r="B26" s="426"/>
      <c r="C26" s="426"/>
      <c r="D26" s="426"/>
      <c r="E26" s="426"/>
      <c r="F26" s="426"/>
      <c r="G26" s="426"/>
      <c r="H26" s="426"/>
      <c r="I26" s="426"/>
      <c r="J26" s="427"/>
    </row>
    <row r="27" spans="1:14" ht="15" outlineLevel="1" x14ac:dyDescent="0.2">
      <c r="A27" s="425">
        <v>3</v>
      </c>
      <c r="B27" s="426"/>
      <c r="C27" s="426"/>
      <c r="D27" s="426"/>
      <c r="E27" s="426"/>
      <c r="F27" s="426"/>
      <c r="G27" s="426"/>
      <c r="H27" s="426"/>
      <c r="I27" s="426"/>
      <c r="J27" s="427"/>
    </row>
    <row r="28" spans="1:14" ht="15" outlineLevel="1" x14ac:dyDescent="0.2">
      <c r="A28" s="425">
        <v>4</v>
      </c>
      <c r="B28" s="426"/>
      <c r="C28" s="426"/>
      <c r="D28" s="426"/>
      <c r="E28" s="426"/>
      <c r="F28" s="426"/>
      <c r="G28" s="426"/>
      <c r="H28" s="426"/>
      <c r="I28" s="426"/>
      <c r="J28" s="427"/>
    </row>
    <row r="29" spans="1:14" ht="15" outlineLevel="1" x14ac:dyDescent="0.2">
      <c r="A29" s="425">
        <v>5</v>
      </c>
      <c r="B29" s="426"/>
      <c r="C29" s="426"/>
      <c r="D29" s="426"/>
      <c r="E29" s="426"/>
      <c r="F29" s="426"/>
      <c r="G29" s="426"/>
      <c r="H29" s="426"/>
      <c r="I29" s="426"/>
      <c r="J29" s="427"/>
    </row>
    <row r="30" spans="1:14" ht="15" outlineLevel="1" x14ac:dyDescent="0.2">
      <c r="A30" s="425">
        <v>6</v>
      </c>
      <c r="B30" s="426"/>
      <c r="C30" s="426"/>
      <c r="D30" s="426"/>
      <c r="E30" s="426"/>
      <c r="F30" s="426"/>
      <c r="G30" s="426"/>
      <c r="H30" s="426"/>
      <c r="I30" s="426"/>
      <c r="J30" s="427"/>
    </row>
    <row r="31" spans="1:14" ht="15" x14ac:dyDescent="0.2">
      <c r="A31" s="139"/>
      <c r="B31" s="139"/>
      <c r="C31" s="139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</row>
    <row r="32" spans="1:14" ht="15.75" customHeight="1" outlineLevel="1" x14ac:dyDescent="0.2">
      <c r="A32" s="411" t="s">
        <v>191</v>
      </c>
      <c r="B32" s="412"/>
      <c r="C32" s="412"/>
      <c r="D32" s="412"/>
      <c r="E32" s="412"/>
      <c r="F32" s="412"/>
      <c r="G32" s="412"/>
      <c r="H32" s="412"/>
      <c r="I32" s="412"/>
      <c r="J32" s="413"/>
    </row>
    <row r="33" spans="1:14" ht="12.75" customHeight="1" outlineLevel="1" x14ac:dyDescent="0.2">
      <c r="A33" s="431" t="s">
        <v>190</v>
      </c>
      <c r="B33" s="431"/>
      <c r="C33" s="431"/>
      <c r="D33" s="431" t="s">
        <v>189</v>
      </c>
      <c r="E33" s="431"/>
      <c r="F33" s="431"/>
      <c r="G33" s="405" t="s">
        <v>254</v>
      </c>
      <c r="H33" s="405"/>
      <c r="I33" s="405"/>
      <c r="J33" s="405"/>
    </row>
    <row r="34" spans="1:14" ht="15" outlineLevel="1" x14ac:dyDescent="0.2">
      <c r="A34" s="406" t="s">
        <v>188</v>
      </c>
      <c r="B34" s="406"/>
      <c r="C34" s="406"/>
      <c r="D34" s="407"/>
      <c r="E34" s="407"/>
      <c r="F34" s="407"/>
      <c r="G34" s="408"/>
      <c r="H34" s="408"/>
      <c r="I34" s="408"/>
      <c r="J34" s="408"/>
    </row>
    <row r="35" spans="1:14" ht="15" outlineLevel="1" x14ac:dyDescent="0.2">
      <c r="A35" s="406" t="s">
        <v>187</v>
      </c>
      <c r="B35" s="406"/>
      <c r="C35" s="406"/>
      <c r="D35" s="407"/>
      <c r="E35" s="407"/>
      <c r="F35" s="407"/>
      <c r="G35" s="408"/>
      <c r="H35" s="408"/>
      <c r="I35" s="408"/>
      <c r="J35" s="408"/>
    </row>
    <row r="36" spans="1:14" ht="15" outlineLevel="1" x14ac:dyDescent="0.2">
      <c r="A36" s="406" t="s">
        <v>186</v>
      </c>
      <c r="B36" s="406"/>
      <c r="C36" s="406"/>
      <c r="D36" s="407"/>
      <c r="E36" s="407"/>
      <c r="F36" s="407"/>
      <c r="G36" s="408"/>
      <c r="H36" s="408"/>
      <c r="I36" s="408"/>
      <c r="J36" s="408"/>
    </row>
    <row r="37" spans="1:14" ht="15" outlineLevel="1" x14ac:dyDescent="0.2">
      <c r="A37" s="406" t="s">
        <v>185</v>
      </c>
      <c r="B37" s="406"/>
      <c r="C37" s="406"/>
      <c r="D37" s="407"/>
      <c r="E37" s="407"/>
      <c r="F37" s="407"/>
      <c r="G37" s="408"/>
      <c r="H37" s="408"/>
      <c r="I37" s="408"/>
      <c r="J37" s="408"/>
    </row>
    <row r="38" spans="1:14" ht="15" outlineLevel="1" x14ac:dyDescent="0.2">
      <c r="A38" s="406" t="s">
        <v>258</v>
      </c>
      <c r="B38" s="406"/>
      <c r="C38" s="406"/>
      <c r="D38" s="407"/>
      <c r="E38" s="407"/>
      <c r="F38" s="407"/>
      <c r="G38" s="408"/>
      <c r="H38" s="408"/>
      <c r="I38" s="408"/>
      <c r="J38" s="408"/>
    </row>
    <row r="39" spans="1:14" ht="30" customHeight="1" outlineLevel="1" x14ac:dyDescent="0.2">
      <c r="A39" s="406" t="s">
        <v>257</v>
      </c>
      <c r="B39" s="406"/>
      <c r="C39" s="406"/>
      <c r="D39" s="407"/>
      <c r="E39" s="407"/>
      <c r="F39" s="407"/>
      <c r="G39" s="408"/>
      <c r="H39" s="408"/>
      <c r="I39" s="408"/>
      <c r="J39" s="408"/>
    </row>
    <row r="40" spans="1:14" ht="15" outlineLevel="1" x14ac:dyDescent="0.2">
      <c r="A40" s="406" t="s">
        <v>184</v>
      </c>
      <c r="B40" s="406"/>
      <c r="C40" s="406"/>
      <c r="D40" s="407"/>
      <c r="E40" s="407"/>
      <c r="F40" s="407"/>
      <c r="G40" s="408"/>
      <c r="H40" s="408"/>
      <c r="I40" s="408"/>
      <c r="J40" s="408"/>
    </row>
    <row r="41" spans="1:14" ht="15" outlineLevel="1" x14ac:dyDescent="0.2">
      <c r="A41" s="406" t="s">
        <v>183</v>
      </c>
      <c r="B41" s="406"/>
      <c r="C41" s="406"/>
      <c r="D41" s="407"/>
      <c r="E41" s="407"/>
      <c r="F41" s="407"/>
      <c r="G41" s="408"/>
      <c r="H41" s="408"/>
      <c r="I41" s="408"/>
      <c r="J41" s="408"/>
    </row>
    <row r="42" spans="1:14" ht="15" x14ac:dyDescent="0.2">
      <c r="A42" s="432"/>
      <c r="B42" s="432"/>
      <c r="C42" s="432"/>
      <c r="D42" s="432"/>
      <c r="E42" s="432"/>
      <c r="F42" s="432"/>
      <c r="G42" s="432"/>
      <c r="H42" s="432"/>
      <c r="I42" s="432"/>
      <c r="J42" s="432"/>
      <c r="K42" s="432"/>
      <c r="L42" s="432"/>
      <c r="M42" s="432"/>
      <c r="N42" s="432"/>
    </row>
    <row r="43" spans="1:14" ht="15.75" outlineLevel="1" x14ac:dyDescent="0.2">
      <c r="A43" s="420" t="s">
        <v>182</v>
      </c>
      <c r="B43" s="420"/>
      <c r="C43" s="420"/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</row>
    <row r="44" spans="1:14" outlineLevel="1" x14ac:dyDescent="0.2">
      <c r="A44" s="409"/>
      <c r="B44" s="410"/>
      <c r="C44" s="410"/>
      <c r="D44" s="410"/>
      <c r="E44" s="410"/>
      <c r="F44" s="410"/>
      <c r="G44" s="410"/>
      <c r="H44" s="410"/>
      <c r="I44" s="410"/>
      <c r="J44" s="410"/>
      <c r="K44" s="410"/>
      <c r="L44" s="410"/>
      <c r="M44" s="410"/>
      <c r="N44" s="410"/>
    </row>
    <row r="45" spans="1:14" outlineLevel="1" x14ac:dyDescent="0.2">
      <c r="A45" s="410"/>
      <c r="B45" s="410"/>
      <c r="C45" s="410"/>
      <c r="D45" s="410"/>
      <c r="E45" s="410"/>
      <c r="F45" s="410"/>
      <c r="G45" s="410"/>
      <c r="H45" s="410"/>
      <c r="I45" s="410"/>
      <c r="J45" s="410"/>
      <c r="K45" s="410"/>
      <c r="L45" s="410"/>
      <c r="M45" s="410"/>
      <c r="N45" s="410"/>
    </row>
    <row r="46" spans="1:14" outlineLevel="1" x14ac:dyDescent="0.2">
      <c r="A46" s="410"/>
      <c r="B46" s="410"/>
      <c r="C46" s="410"/>
      <c r="D46" s="410"/>
      <c r="E46" s="410"/>
      <c r="F46" s="410"/>
      <c r="G46" s="410"/>
      <c r="H46" s="410"/>
      <c r="I46" s="410"/>
      <c r="J46" s="410"/>
      <c r="K46" s="410"/>
      <c r="L46" s="410"/>
      <c r="M46" s="410"/>
      <c r="N46" s="410"/>
    </row>
    <row r="47" spans="1:14" outlineLevel="1" x14ac:dyDescent="0.2">
      <c r="A47" s="410"/>
      <c r="B47" s="410"/>
      <c r="C47" s="410"/>
      <c r="D47" s="410"/>
      <c r="E47" s="410"/>
      <c r="F47" s="410"/>
      <c r="G47" s="410"/>
      <c r="H47" s="410"/>
      <c r="I47" s="410"/>
      <c r="J47" s="410"/>
      <c r="K47" s="410"/>
      <c r="L47" s="410"/>
      <c r="M47" s="410"/>
      <c r="N47" s="410"/>
    </row>
    <row r="48" spans="1:14" outlineLevel="1" x14ac:dyDescent="0.2">
      <c r="A48" s="410"/>
      <c r="B48" s="410"/>
      <c r="C48" s="410"/>
      <c r="D48" s="410"/>
      <c r="E48" s="410"/>
      <c r="F48" s="410"/>
      <c r="G48" s="410"/>
      <c r="H48" s="410"/>
      <c r="I48" s="410"/>
      <c r="J48" s="410"/>
      <c r="K48" s="410"/>
      <c r="L48" s="410"/>
      <c r="M48" s="410"/>
      <c r="N48" s="410"/>
    </row>
    <row r="49" spans="1:19" outlineLevel="1" x14ac:dyDescent="0.2">
      <c r="A49" s="410"/>
      <c r="B49" s="410"/>
      <c r="C49" s="410"/>
      <c r="D49" s="410"/>
      <c r="E49" s="410"/>
      <c r="F49" s="410"/>
      <c r="G49" s="410"/>
      <c r="H49" s="410"/>
      <c r="I49" s="410"/>
      <c r="J49" s="410"/>
      <c r="K49" s="410"/>
      <c r="L49" s="410"/>
      <c r="M49" s="410"/>
      <c r="N49" s="410"/>
    </row>
    <row r="50" spans="1:19" outlineLevel="1" x14ac:dyDescent="0.2">
      <c r="A50" s="410"/>
      <c r="B50" s="410"/>
      <c r="C50" s="410"/>
      <c r="D50" s="410"/>
      <c r="E50" s="410"/>
      <c r="F50" s="410"/>
      <c r="G50" s="410"/>
      <c r="H50" s="410"/>
      <c r="I50" s="410"/>
      <c r="J50" s="410"/>
      <c r="K50" s="410"/>
      <c r="L50" s="410"/>
      <c r="M50" s="410"/>
      <c r="N50" s="410"/>
    </row>
    <row r="51" spans="1:19" outlineLevel="1" x14ac:dyDescent="0.2">
      <c r="A51" s="410"/>
      <c r="B51" s="410"/>
      <c r="C51" s="410"/>
      <c r="D51" s="410"/>
      <c r="E51" s="410"/>
      <c r="F51" s="410"/>
      <c r="G51" s="410"/>
      <c r="H51" s="410"/>
      <c r="I51" s="410"/>
      <c r="J51" s="410"/>
      <c r="K51" s="410"/>
      <c r="L51" s="410"/>
      <c r="M51" s="410"/>
      <c r="N51" s="410"/>
    </row>
    <row r="52" spans="1:19" ht="15.75" x14ac:dyDescent="0.2">
      <c r="A52" s="137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</row>
    <row r="53" spans="1:19" ht="15.75" outlineLevel="1" x14ac:dyDescent="0.2">
      <c r="A53" s="420" t="s">
        <v>181</v>
      </c>
      <c r="B53" s="420"/>
      <c r="C53" s="420"/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</row>
    <row r="54" spans="1:19" outlineLevel="1" x14ac:dyDescent="0.2">
      <c r="A54" s="405" t="s">
        <v>180</v>
      </c>
      <c r="B54" s="405"/>
      <c r="C54" s="405"/>
      <c r="D54" s="405"/>
      <c r="E54" s="405"/>
      <c r="F54" s="405"/>
      <c r="G54" s="405"/>
      <c r="H54" s="405"/>
      <c r="I54" s="405"/>
      <c r="J54" s="405"/>
      <c r="K54" s="405"/>
      <c r="L54" s="405"/>
      <c r="M54" s="405"/>
      <c r="N54" s="405"/>
      <c r="O54" s="405" t="s">
        <v>179</v>
      </c>
      <c r="P54" s="405"/>
      <c r="Q54" s="405"/>
      <c r="R54" s="405" t="s">
        <v>126</v>
      </c>
      <c r="S54" s="405"/>
    </row>
    <row r="55" spans="1:19" s="177" customFormat="1" outlineLevel="1" x14ac:dyDescent="0.2">
      <c r="A55" s="414" t="s">
        <v>178</v>
      </c>
      <c r="B55" s="402" t="s">
        <v>177</v>
      </c>
      <c r="C55" s="403"/>
      <c r="D55" s="403"/>
      <c r="E55" s="403"/>
      <c r="F55" s="403"/>
      <c r="G55" s="403"/>
      <c r="H55" s="403"/>
      <c r="I55" s="403"/>
      <c r="J55" s="403"/>
      <c r="K55" s="403"/>
      <c r="L55" s="403"/>
      <c r="M55" s="403"/>
      <c r="N55" s="404"/>
      <c r="O55" s="147"/>
      <c r="P55" s="148"/>
      <c r="Q55" s="149"/>
      <c r="R55" s="399"/>
      <c r="S55" s="401"/>
    </row>
    <row r="56" spans="1:19" s="177" customFormat="1" outlineLevel="1" x14ac:dyDescent="0.2">
      <c r="A56" s="415"/>
      <c r="B56" s="402" t="s">
        <v>176</v>
      </c>
      <c r="C56" s="403"/>
      <c r="D56" s="403"/>
      <c r="E56" s="403"/>
      <c r="F56" s="403"/>
      <c r="G56" s="403"/>
      <c r="H56" s="403"/>
      <c r="I56" s="403"/>
      <c r="J56" s="403"/>
      <c r="K56" s="403"/>
      <c r="L56" s="403"/>
      <c r="M56" s="403"/>
      <c r="N56" s="404"/>
      <c r="O56" s="399"/>
      <c r="P56" s="400"/>
      <c r="Q56" s="401"/>
      <c r="R56" s="399"/>
      <c r="S56" s="401"/>
    </row>
    <row r="57" spans="1:19" s="177" customFormat="1" outlineLevel="1" x14ac:dyDescent="0.2">
      <c r="A57" s="415"/>
      <c r="B57" s="402" t="s">
        <v>175</v>
      </c>
      <c r="C57" s="403"/>
      <c r="D57" s="403"/>
      <c r="E57" s="403"/>
      <c r="F57" s="403"/>
      <c r="G57" s="403"/>
      <c r="H57" s="403"/>
      <c r="I57" s="403"/>
      <c r="J57" s="403"/>
      <c r="K57" s="403"/>
      <c r="L57" s="403"/>
      <c r="M57" s="403"/>
      <c r="N57" s="404"/>
      <c r="O57" s="399"/>
      <c r="P57" s="400"/>
      <c r="Q57" s="401"/>
      <c r="R57" s="399"/>
      <c r="S57" s="401"/>
    </row>
    <row r="58" spans="1:19" s="177" customFormat="1" outlineLevel="1" x14ac:dyDescent="0.2">
      <c r="A58" s="415"/>
      <c r="B58" s="402" t="s">
        <v>174</v>
      </c>
      <c r="C58" s="403"/>
      <c r="D58" s="403"/>
      <c r="E58" s="403"/>
      <c r="F58" s="403"/>
      <c r="G58" s="403"/>
      <c r="H58" s="403"/>
      <c r="I58" s="403"/>
      <c r="J58" s="403"/>
      <c r="K58" s="403"/>
      <c r="L58" s="403"/>
      <c r="M58" s="403"/>
      <c r="N58" s="404"/>
      <c r="O58" s="399"/>
      <c r="P58" s="400"/>
      <c r="Q58" s="401"/>
      <c r="R58" s="399"/>
      <c r="S58" s="401"/>
    </row>
    <row r="59" spans="1:19" s="177" customFormat="1" outlineLevel="1" x14ac:dyDescent="0.2">
      <c r="A59" s="415"/>
      <c r="B59" s="402" t="s">
        <v>173</v>
      </c>
      <c r="C59" s="403"/>
      <c r="D59" s="403"/>
      <c r="E59" s="403"/>
      <c r="F59" s="403"/>
      <c r="G59" s="403"/>
      <c r="H59" s="403"/>
      <c r="I59" s="403"/>
      <c r="J59" s="403"/>
      <c r="K59" s="403"/>
      <c r="L59" s="403"/>
      <c r="M59" s="403"/>
      <c r="N59" s="404"/>
      <c r="O59" s="399"/>
      <c r="P59" s="400"/>
      <c r="Q59" s="401"/>
      <c r="R59" s="399"/>
      <c r="S59" s="401"/>
    </row>
    <row r="60" spans="1:19" s="177" customFormat="1" outlineLevel="1" x14ac:dyDescent="0.2">
      <c r="A60" s="415"/>
      <c r="B60" s="402" t="s">
        <v>172</v>
      </c>
      <c r="C60" s="403"/>
      <c r="D60" s="403"/>
      <c r="E60" s="403"/>
      <c r="F60" s="403"/>
      <c r="G60" s="403"/>
      <c r="H60" s="403"/>
      <c r="I60" s="403"/>
      <c r="J60" s="403"/>
      <c r="K60" s="403"/>
      <c r="L60" s="403"/>
      <c r="M60" s="403"/>
      <c r="N60" s="404"/>
      <c r="O60" s="399"/>
      <c r="P60" s="400"/>
      <c r="Q60" s="401"/>
      <c r="R60" s="399"/>
      <c r="S60" s="401"/>
    </row>
    <row r="61" spans="1:19" s="177" customFormat="1" outlineLevel="1" x14ac:dyDescent="0.2">
      <c r="A61" s="414" t="s">
        <v>171</v>
      </c>
      <c r="B61" s="402" t="s">
        <v>170</v>
      </c>
      <c r="C61" s="403"/>
      <c r="D61" s="403"/>
      <c r="E61" s="403"/>
      <c r="F61" s="403"/>
      <c r="G61" s="403"/>
      <c r="H61" s="403"/>
      <c r="I61" s="403"/>
      <c r="J61" s="403"/>
      <c r="K61" s="403"/>
      <c r="L61" s="403"/>
      <c r="M61" s="403"/>
      <c r="N61" s="404"/>
      <c r="O61" s="399"/>
      <c r="P61" s="400"/>
      <c r="Q61" s="401"/>
      <c r="R61" s="399"/>
      <c r="S61" s="401"/>
    </row>
    <row r="62" spans="1:19" s="177" customFormat="1" outlineLevel="1" x14ac:dyDescent="0.2">
      <c r="A62" s="415"/>
      <c r="B62" s="402" t="s">
        <v>169</v>
      </c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3"/>
      <c r="N62" s="404"/>
      <c r="O62" s="399"/>
      <c r="P62" s="400"/>
      <c r="Q62" s="401"/>
      <c r="R62" s="399"/>
      <c r="S62" s="401"/>
    </row>
    <row r="63" spans="1:19" s="177" customFormat="1" outlineLevel="1" x14ac:dyDescent="0.2">
      <c r="A63" s="415"/>
      <c r="B63" s="402" t="s">
        <v>168</v>
      </c>
      <c r="C63" s="403"/>
      <c r="D63" s="403"/>
      <c r="E63" s="403"/>
      <c r="F63" s="403"/>
      <c r="G63" s="403"/>
      <c r="H63" s="403"/>
      <c r="I63" s="403"/>
      <c r="J63" s="403"/>
      <c r="K63" s="403"/>
      <c r="L63" s="403"/>
      <c r="M63" s="403"/>
      <c r="N63" s="404"/>
      <c r="O63" s="399"/>
      <c r="P63" s="400"/>
      <c r="Q63" s="401"/>
      <c r="R63" s="399"/>
      <c r="S63" s="401"/>
    </row>
    <row r="64" spans="1:19" s="177" customFormat="1" outlineLevel="1" x14ac:dyDescent="0.2">
      <c r="A64" s="415"/>
      <c r="B64" s="402" t="s">
        <v>167</v>
      </c>
      <c r="C64" s="403"/>
      <c r="D64" s="403"/>
      <c r="E64" s="403"/>
      <c r="F64" s="403"/>
      <c r="G64" s="403"/>
      <c r="H64" s="403"/>
      <c r="I64" s="403"/>
      <c r="J64" s="403"/>
      <c r="K64" s="403"/>
      <c r="L64" s="403"/>
      <c r="M64" s="403"/>
      <c r="N64" s="404"/>
      <c r="O64" s="399"/>
      <c r="P64" s="400"/>
      <c r="Q64" s="401"/>
      <c r="R64" s="399"/>
      <c r="S64" s="401"/>
    </row>
    <row r="65" spans="1:19" s="177" customFormat="1" outlineLevel="1" x14ac:dyDescent="0.2">
      <c r="A65" s="415"/>
      <c r="B65" s="402" t="s">
        <v>166</v>
      </c>
      <c r="C65" s="403"/>
      <c r="D65" s="403"/>
      <c r="E65" s="403"/>
      <c r="F65" s="403"/>
      <c r="G65" s="403"/>
      <c r="H65" s="403"/>
      <c r="I65" s="403"/>
      <c r="J65" s="403"/>
      <c r="K65" s="403"/>
      <c r="L65" s="403"/>
      <c r="M65" s="403"/>
      <c r="N65" s="404"/>
      <c r="O65" s="399"/>
      <c r="P65" s="400"/>
      <c r="Q65" s="401"/>
      <c r="R65" s="399"/>
      <c r="S65" s="401"/>
    </row>
    <row r="66" spans="1:19" s="177" customFormat="1" outlineLevel="1" x14ac:dyDescent="0.2">
      <c r="A66" s="415"/>
      <c r="B66" s="402" t="s">
        <v>165</v>
      </c>
      <c r="C66" s="403"/>
      <c r="D66" s="403"/>
      <c r="E66" s="403"/>
      <c r="F66" s="403"/>
      <c r="G66" s="403"/>
      <c r="H66" s="403"/>
      <c r="I66" s="403"/>
      <c r="J66" s="403"/>
      <c r="K66" s="403"/>
      <c r="L66" s="403"/>
      <c r="M66" s="403"/>
      <c r="N66" s="404"/>
      <c r="O66" s="399"/>
      <c r="P66" s="400"/>
      <c r="Q66" s="401"/>
      <c r="R66" s="399"/>
      <c r="S66" s="401"/>
    </row>
    <row r="67" spans="1:19" s="177" customFormat="1" outlineLevel="1" x14ac:dyDescent="0.2">
      <c r="A67" s="415"/>
      <c r="B67" s="402" t="s">
        <v>164</v>
      </c>
      <c r="C67" s="403"/>
      <c r="D67" s="403"/>
      <c r="E67" s="403"/>
      <c r="F67" s="403"/>
      <c r="G67" s="403"/>
      <c r="H67" s="403"/>
      <c r="I67" s="403"/>
      <c r="J67" s="403"/>
      <c r="K67" s="403"/>
      <c r="L67" s="403"/>
      <c r="M67" s="403"/>
      <c r="N67" s="404"/>
      <c r="O67" s="399"/>
      <c r="P67" s="400"/>
      <c r="Q67" s="401"/>
      <c r="R67" s="399"/>
      <c r="S67" s="401"/>
    </row>
    <row r="68" spans="1:19" s="177" customFormat="1" outlineLevel="1" x14ac:dyDescent="0.2">
      <c r="A68" s="415"/>
      <c r="B68" s="402" t="s">
        <v>163</v>
      </c>
      <c r="C68" s="403"/>
      <c r="D68" s="403"/>
      <c r="E68" s="403"/>
      <c r="F68" s="403"/>
      <c r="G68" s="403"/>
      <c r="H68" s="403"/>
      <c r="I68" s="403"/>
      <c r="J68" s="403"/>
      <c r="K68" s="403"/>
      <c r="L68" s="403"/>
      <c r="M68" s="403"/>
      <c r="N68" s="404"/>
      <c r="O68" s="399"/>
      <c r="P68" s="400"/>
      <c r="Q68" s="401"/>
      <c r="R68" s="399"/>
      <c r="S68" s="401"/>
    </row>
    <row r="69" spans="1:19" s="177" customFormat="1" outlineLevel="1" x14ac:dyDescent="0.2">
      <c r="A69" s="415"/>
      <c r="B69" s="421" t="s">
        <v>162</v>
      </c>
      <c r="C69" s="422"/>
      <c r="D69" s="422"/>
      <c r="E69" s="422"/>
      <c r="F69" s="422"/>
      <c r="G69" s="422"/>
      <c r="H69" s="422"/>
      <c r="I69" s="422"/>
      <c r="J69" s="422"/>
      <c r="K69" s="422"/>
      <c r="L69" s="422"/>
      <c r="M69" s="422"/>
      <c r="N69" s="423"/>
      <c r="O69" s="399"/>
      <c r="P69" s="400"/>
      <c r="Q69" s="401"/>
      <c r="R69" s="147"/>
      <c r="S69" s="149"/>
    </row>
    <row r="70" spans="1:19" s="177" customFormat="1" outlineLevel="1" x14ac:dyDescent="0.2">
      <c r="A70" s="415"/>
      <c r="B70" s="402" t="s">
        <v>161</v>
      </c>
      <c r="C70" s="403"/>
      <c r="D70" s="403"/>
      <c r="E70" s="403"/>
      <c r="F70" s="403"/>
      <c r="G70" s="403"/>
      <c r="H70" s="403"/>
      <c r="I70" s="403"/>
      <c r="J70" s="403"/>
      <c r="K70" s="403"/>
      <c r="L70" s="403"/>
      <c r="M70" s="403"/>
      <c r="N70" s="404"/>
      <c r="O70" s="399"/>
      <c r="P70" s="400"/>
      <c r="Q70" s="401"/>
      <c r="R70" s="399"/>
      <c r="S70" s="401"/>
    </row>
    <row r="71" spans="1:19" s="177" customFormat="1" outlineLevel="1" x14ac:dyDescent="0.2">
      <c r="A71" s="415"/>
      <c r="B71" s="402" t="s">
        <v>160</v>
      </c>
      <c r="C71" s="403"/>
      <c r="D71" s="403"/>
      <c r="E71" s="403"/>
      <c r="F71" s="403"/>
      <c r="G71" s="403"/>
      <c r="H71" s="403"/>
      <c r="I71" s="403"/>
      <c r="J71" s="403"/>
      <c r="K71" s="403"/>
      <c r="L71" s="403"/>
      <c r="M71" s="403"/>
      <c r="N71" s="404"/>
      <c r="O71" s="399"/>
      <c r="P71" s="400"/>
      <c r="Q71" s="401"/>
      <c r="R71" s="399"/>
      <c r="S71" s="401"/>
    </row>
    <row r="72" spans="1:19" s="177" customFormat="1" outlineLevel="1" x14ac:dyDescent="0.2">
      <c r="A72" s="415"/>
      <c r="B72" s="402" t="s">
        <v>159</v>
      </c>
      <c r="C72" s="403"/>
      <c r="D72" s="403"/>
      <c r="E72" s="403"/>
      <c r="F72" s="403"/>
      <c r="G72" s="403"/>
      <c r="H72" s="403"/>
      <c r="I72" s="403"/>
      <c r="J72" s="403"/>
      <c r="K72" s="403"/>
      <c r="L72" s="403"/>
      <c r="M72" s="403"/>
      <c r="N72" s="404"/>
      <c r="O72" s="399"/>
      <c r="P72" s="400"/>
      <c r="Q72" s="401"/>
      <c r="R72" s="399"/>
      <c r="S72" s="401"/>
    </row>
    <row r="73" spans="1:19" s="177" customFormat="1" outlineLevel="1" x14ac:dyDescent="0.2">
      <c r="A73" s="415"/>
      <c r="B73" s="402" t="s">
        <v>158</v>
      </c>
      <c r="C73" s="403"/>
      <c r="D73" s="403"/>
      <c r="E73" s="403"/>
      <c r="F73" s="403"/>
      <c r="G73" s="403"/>
      <c r="H73" s="403"/>
      <c r="I73" s="403"/>
      <c r="J73" s="403"/>
      <c r="K73" s="403"/>
      <c r="L73" s="403"/>
      <c r="M73" s="403"/>
      <c r="N73" s="404"/>
      <c r="O73" s="399"/>
      <c r="P73" s="400"/>
      <c r="Q73" s="401"/>
      <c r="R73" s="399"/>
      <c r="S73" s="401"/>
    </row>
    <row r="74" spans="1:19" s="177" customFormat="1" outlineLevel="1" x14ac:dyDescent="0.2">
      <c r="A74" s="415"/>
      <c r="B74" s="402" t="s">
        <v>157</v>
      </c>
      <c r="C74" s="403"/>
      <c r="D74" s="403"/>
      <c r="E74" s="403"/>
      <c r="F74" s="403"/>
      <c r="G74" s="403"/>
      <c r="H74" s="403"/>
      <c r="I74" s="403"/>
      <c r="J74" s="403"/>
      <c r="K74" s="403"/>
      <c r="L74" s="403"/>
      <c r="M74" s="403"/>
      <c r="N74" s="404"/>
      <c r="O74" s="399"/>
      <c r="P74" s="400"/>
      <c r="Q74" s="401"/>
      <c r="R74" s="399"/>
      <c r="S74" s="401"/>
    </row>
    <row r="75" spans="1:19" s="177" customFormat="1" outlineLevel="1" x14ac:dyDescent="0.2">
      <c r="A75" s="414" t="s">
        <v>156</v>
      </c>
      <c r="B75" s="402" t="s">
        <v>155</v>
      </c>
      <c r="C75" s="403"/>
      <c r="D75" s="403"/>
      <c r="E75" s="403"/>
      <c r="F75" s="403"/>
      <c r="G75" s="403"/>
      <c r="H75" s="403"/>
      <c r="I75" s="403"/>
      <c r="J75" s="403"/>
      <c r="K75" s="403"/>
      <c r="L75" s="403"/>
      <c r="M75" s="403"/>
      <c r="N75" s="404"/>
      <c r="O75" s="399"/>
      <c r="P75" s="400"/>
      <c r="Q75" s="401"/>
      <c r="R75" s="399"/>
      <c r="S75" s="401"/>
    </row>
    <row r="76" spans="1:19" s="177" customFormat="1" outlineLevel="1" x14ac:dyDescent="0.2">
      <c r="A76" s="415"/>
      <c r="B76" s="402" t="s">
        <v>154</v>
      </c>
      <c r="C76" s="403"/>
      <c r="D76" s="403"/>
      <c r="E76" s="403"/>
      <c r="F76" s="403"/>
      <c r="G76" s="403"/>
      <c r="H76" s="403"/>
      <c r="I76" s="403"/>
      <c r="J76" s="403"/>
      <c r="K76" s="403"/>
      <c r="L76" s="403"/>
      <c r="M76" s="403"/>
      <c r="N76" s="404"/>
      <c r="O76" s="399"/>
      <c r="P76" s="400"/>
      <c r="Q76" s="401"/>
      <c r="R76" s="399"/>
      <c r="S76" s="401"/>
    </row>
    <row r="77" spans="1:19" s="177" customFormat="1" outlineLevel="1" x14ac:dyDescent="0.2">
      <c r="A77" s="415"/>
      <c r="B77" s="402" t="s">
        <v>219</v>
      </c>
      <c r="C77" s="403"/>
      <c r="D77" s="403"/>
      <c r="E77" s="403"/>
      <c r="F77" s="403"/>
      <c r="G77" s="403"/>
      <c r="H77" s="403"/>
      <c r="I77" s="403"/>
      <c r="J77" s="403"/>
      <c r="K77" s="403"/>
      <c r="L77" s="403"/>
      <c r="M77" s="403"/>
      <c r="N77" s="404"/>
      <c r="O77" s="399"/>
      <c r="P77" s="400"/>
      <c r="Q77" s="401"/>
      <c r="R77" s="399"/>
      <c r="S77" s="401"/>
    </row>
    <row r="78" spans="1:19" s="177" customFormat="1" outlineLevel="1" x14ac:dyDescent="0.2">
      <c r="A78" s="415"/>
      <c r="B78" s="402" t="s">
        <v>153</v>
      </c>
      <c r="C78" s="403"/>
      <c r="D78" s="403"/>
      <c r="E78" s="403"/>
      <c r="F78" s="403"/>
      <c r="G78" s="403"/>
      <c r="H78" s="403"/>
      <c r="I78" s="403"/>
      <c r="J78" s="403"/>
      <c r="K78" s="403"/>
      <c r="L78" s="403"/>
      <c r="M78" s="403"/>
      <c r="N78" s="404"/>
      <c r="O78" s="399"/>
      <c r="P78" s="400"/>
      <c r="Q78" s="401"/>
      <c r="R78" s="399"/>
      <c r="S78" s="401"/>
    </row>
    <row r="79" spans="1:19" s="177" customFormat="1" outlineLevel="1" x14ac:dyDescent="0.2">
      <c r="A79" s="416"/>
      <c r="B79" s="402" t="s">
        <v>152</v>
      </c>
      <c r="C79" s="403"/>
      <c r="D79" s="403"/>
      <c r="E79" s="403"/>
      <c r="F79" s="403"/>
      <c r="G79" s="403"/>
      <c r="H79" s="403"/>
      <c r="I79" s="403"/>
      <c r="J79" s="403"/>
      <c r="K79" s="403"/>
      <c r="L79" s="403"/>
      <c r="M79" s="403"/>
      <c r="N79" s="404"/>
      <c r="O79" s="399"/>
      <c r="P79" s="400"/>
      <c r="Q79" s="401"/>
      <c r="R79" s="399"/>
      <c r="S79" s="401"/>
    </row>
    <row r="80" spans="1:19" s="177" customFormat="1" outlineLevel="1" x14ac:dyDescent="0.2">
      <c r="A80" s="414" t="s">
        <v>151</v>
      </c>
      <c r="B80" s="402" t="s">
        <v>150</v>
      </c>
      <c r="C80" s="403"/>
      <c r="D80" s="403"/>
      <c r="E80" s="403"/>
      <c r="F80" s="403"/>
      <c r="G80" s="403"/>
      <c r="H80" s="403"/>
      <c r="I80" s="403"/>
      <c r="J80" s="403"/>
      <c r="K80" s="403"/>
      <c r="L80" s="403"/>
      <c r="M80" s="403"/>
      <c r="N80" s="404"/>
      <c r="O80" s="399"/>
      <c r="P80" s="400"/>
      <c r="Q80" s="401"/>
      <c r="R80" s="399"/>
      <c r="S80" s="401"/>
    </row>
    <row r="81" spans="1:24" s="177" customFormat="1" outlineLevel="1" x14ac:dyDescent="0.2">
      <c r="A81" s="415"/>
      <c r="B81" s="402" t="s">
        <v>149</v>
      </c>
      <c r="C81" s="403"/>
      <c r="D81" s="403"/>
      <c r="E81" s="403"/>
      <c r="F81" s="403"/>
      <c r="G81" s="403"/>
      <c r="H81" s="403"/>
      <c r="I81" s="403"/>
      <c r="J81" s="403"/>
      <c r="K81" s="403"/>
      <c r="L81" s="403"/>
      <c r="M81" s="403"/>
      <c r="N81" s="404"/>
      <c r="O81" s="399"/>
      <c r="P81" s="400"/>
      <c r="Q81" s="401"/>
      <c r="R81" s="399"/>
      <c r="S81" s="401"/>
    </row>
    <row r="82" spans="1:24" s="177" customFormat="1" outlineLevel="1" x14ac:dyDescent="0.2">
      <c r="A82" s="415"/>
      <c r="B82" s="402" t="s">
        <v>148</v>
      </c>
      <c r="C82" s="403"/>
      <c r="D82" s="403"/>
      <c r="E82" s="403"/>
      <c r="F82" s="403"/>
      <c r="G82" s="403"/>
      <c r="H82" s="403"/>
      <c r="I82" s="403"/>
      <c r="J82" s="403"/>
      <c r="K82" s="403"/>
      <c r="L82" s="403"/>
      <c r="M82" s="403"/>
      <c r="N82" s="404"/>
      <c r="O82" s="399"/>
      <c r="P82" s="400"/>
      <c r="Q82" s="401"/>
      <c r="R82" s="399"/>
      <c r="S82" s="401"/>
    </row>
    <row r="83" spans="1:24" s="177" customFormat="1" outlineLevel="1" x14ac:dyDescent="0.2">
      <c r="A83" s="415"/>
      <c r="B83" s="402" t="s">
        <v>147</v>
      </c>
      <c r="C83" s="403"/>
      <c r="D83" s="403"/>
      <c r="E83" s="403"/>
      <c r="F83" s="403"/>
      <c r="G83" s="403"/>
      <c r="H83" s="403"/>
      <c r="I83" s="403"/>
      <c r="J83" s="403"/>
      <c r="K83" s="403"/>
      <c r="L83" s="403"/>
      <c r="M83" s="403"/>
      <c r="N83" s="404"/>
      <c r="O83" s="399"/>
      <c r="P83" s="400"/>
      <c r="Q83" s="401"/>
      <c r="R83" s="399"/>
      <c r="S83" s="401"/>
    </row>
    <row r="84" spans="1:24" s="177" customFormat="1" outlineLevel="1" x14ac:dyDescent="0.2">
      <c r="A84" s="415"/>
      <c r="B84" s="402" t="s">
        <v>146</v>
      </c>
      <c r="C84" s="403"/>
      <c r="D84" s="403"/>
      <c r="E84" s="403"/>
      <c r="F84" s="403"/>
      <c r="G84" s="403"/>
      <c r="H84" s="403"/>
      <c r="I84" s="403"/>
      <c r="J84" s="403"/>
      <c r="K84" s="403"/>
      <c r="L84" s="403"/>
      <c r="M84" s="403"/>
      <c r="N84" s="404"/>
      <c r="O84" s="399"/>
      <c r="P84" s="400"/>
      <c r="Q84" s="401"/>
      <c r="R84" s="399"/>
      <c r="S84" s="401"/>
    </row>
    <row r="85" spans="1:24" s="177" customFormat="1" outlineLevel="1" x14ac:dyDescent="0.2">
      <c r="A85" s="415"/>
      <c r="B85" s="402" t="s">
        <v>145</v>
      </c>
      <c r="C85" s="403"/>
      <c r="D85" s="403"/>
      <c r="E85" s="403"/>
      <c r="F85" s="403"/>
      <c r="G85" s="403"/>
      <c r="H85" s="403"/>
      <c r="I85" s="403"/>
      <c r="J85" s="403"/>
      <c r="K85" s="403"/>
      <c r="L85" s="403"/>
      <c r="M85" s="403"/>
      <c r="N85" s="404"/>
      <c r="O85" s="399"/>
      <c r="P85" s="400"/>
      <c r="Q85" s="401"/>
      <c r="R85" s="399"/>
      <c r="S85" s="401"/>
    </row>
    <row r="86" spans="1:24" s="177" customFormat="1" outlineLevel="1" x14ac:dyDescent="0.2">
      <c r="A86" s="416"/>
      <c r="B86" s="402" t="s">
        <v>144</v>
      </c>
      <c r="C86" s="403"/>
      <c r="D86" s="403"/>
      <c r="E86" s="403"/>
      <c r="F86" s="403"/>
      <c r="G86" s="403"/>
      <c r="H86" s="403"/>
      <c r="I86" s="403"/>
      <c r="J86" s="403"/>
      <c r="K86" s="403"/>
      <c r="L86" s="403"/>
      <c r="M86" s="403"/>
      <c r="N86" s="404"/>
      <c r="O86" s="399"/>
      <c r="P86" s="400"/>
      <c r="Q86" s="401"/>
      <c r="R86" s="399"/>
      <c r="S86" s="401"/>
    </row>
    <row r="87" spans="1:24" s="177" customFormat="1" outlineLevel="1" x14ac:dyDescent="0.2">
      <c r="A87" s="414" t="s">
        <v>143</v>
      </c>
      <c r="B87" s="402" t="s">
        <v>142</v>
      </c>
      <c r="C87" s="403"/>
      <c r="D87" s="403"/>
      <c r="E87" s="403"/>
      <c r="F87" s="403"/>
      <c r="G87" s="403"/>
      <c r="H87" s="403"/>
      <c r="I87" s="403"/>
      <c r="J87" s="403"/>
      <c r="K87" s="403"/>
      <c r="L87" s="403"/>
      <c r="M87" s="403"/>
      <c r="N87" s="404"/>
      <c r="O87" s="399"/>
      <c r="P87" s="400"/>
      <c r="Q87" s="401"/>
      <c r="R87" s="399"/>
      <c r="S87" s="401"/>
    </row>
    <row r="88" spans="1:24" s="177" customFormat="1" outlineLevel="1" x14ac:dyDescent="0.2">
      <c r="A88" s="415"/>
      <c r="B88" s="402" t="s">
        <v>141</v>
      </c>
      <c r="C88" s="403"/>
      <c r="D88" s="403"/>
      <c r="E88" s="403"/>
      <c r="F88" s="403"/>
      <c r="G88" s="403"/>
      <c r="H88" s="403"/>
      <c r="I88" s="403"/>
      <c r="J88" s="403"/>
      <c r="K88" s="403"/>
      <c r="L88" s="403"/>
      <c r="M88" s="403"/>
      <c r="N88" s="404"/>
      <c r="O88" s="399"/>
      <c r="P88" s="400"/>
      <c r="Q88" s="401"/>
      <c r="R88" s="399"/>
      <c r="S88" s="401"/>
    </row>
    <row r="89" spans="1:24" s="177" customFormat="1" outlineLevel="1" x14ac:dyDescent="0.2">
      <c r="A89" s="415"/>
      <c r="B89" s="417" t="s">
        <v>140</v>
      </c>
      <c r="C89" s="418"/>
      <c r="D89" s="418"/>
      <c r="E89" s="418"/>
      <c r="F89" s="418"/>
      <c r="G89" s="418"/>
      <c r="H89" s="418"/>
      <c r="I89" s="418"/>
      <c r="J89" s="418"/>
      <c r="K89" s="418"/>
      <c r="L89" s="418"/>
      <c r="M89" s="418"/>
      <c r="N89" s="419"/>
      <c r="O89" s="399"/>
      <c r="P89" s="400"/>
      <c r="Q89" s="401"/>
      <c r="R89" s="399"/>
      <c r="S89" s="401"/>
    </row>
    <row r="90" spans="1:24" s="177" customFormat="1" outlineLevel="1" x14ac:dyDescent="0.2">
      <c r="A90" s="415"/>
      <c r="B90" s="417" t="s">
        <v>139</v>
      </c>
      <c r="C90" s="418"/>
      <c r="D90" s="418"/>
      <c r="E90" s="418"/>
      <c r="F90" s="418"/>
      <c r="G90" s="418"/>
      <c r="H90" s="418"/>
      <c r="I90" s="418"/>
      <c r="J90" s="418"/>
      <c r="K90" s="418"/>
      <c r="L90" s="418"/>
      <c r="M90" s="418"/>
      <c r="N90" s="419"/>
      <c r="O90" s="399"/>
      <c r="P90" s="400"/>
      <c r="Q90" s="401"/>
      <c r="R90" s="399"/>
      <c r="S90" s="401"/>
    </row>
    <row r="91" spans="1:24" s="177" customFormat="1" outlineLevel="1" x14ac:dyDescent="0.2">
      <c r="A91" s="415"/>
      <c r="B91" s="417" t="s">
        <v>138</v>
      </c>
      <c r="C91" s="418"/>
      <c r="D91" s="418"/>
      <c r="E91" s="418"/>
      <c r="F91" s="418"/>
      <c r="G91" s="418"/>
      <c r="H91" s="418"/>
      <c r="I91" s="418"/>
      <c r="J91" s="418"/>
      <c r="K91" s="418"/>
      <c r="L91" s="418"/>
      <c r="M91" s="418"/>
      <c r="N91" s="419"/>
      <c r="O91" s="399"/>
      <c r="P91" s="400"/>
      <c r="Q91" s="401"/>
      <c r="R91" s="399"/>
      <c r="S91" s="401"/>
    </row>
    <row r="92" spans="1:24" s="177" customFormat="1" outlineLevel="1" x14ac:dyDescent="0.2">
      <c r="A92" s="416"/>
      <c r="B92" s="402" t="s">
        <v>137</v>
      </c>
      <c r="C92" s="403"/>
      <c r="D92" s="403"/>
      <c r="E92" s="403"/>
      <c r="F92" s="403"/>
      <c r="G92" s="403"/>
      <c r="H92" s="403"/>
      <c r="I92" s="403"/>
      <c r="J92" s="403"/>
      <c r="K92" s="403"/>
      <c r="L92" s="403"/>
      <c r="M92" s="403"/>
      <c r="N92" s="404"/>
      <c r="O92" s="399"/>
      <c r="P92" s="400"/>
      <c r="Q92" s="401"/>
      <c r="R92" s="399"/>
      <c r="S92" s="401"/>
    </row>
    <row r="93" spans="1:24" s="177" customFormat="1" outlineLevel="1" x14ac:dyDescent="0.2">
      <c r="A93" s="405" t="s">
        <v>136</v>
      </c>
      <c r="B93" s="402" t="s">
        <v>135</v>
      </c>
      <c r="C93" s="403"/>
      <c r="D93" s="403"/>
      <c r="E93" s="403"/>
      <c r="F93" s="403"/>
      <c r="G93" s="403"/>
      <c r="H93" s="403"/>
      <c r="I93" s="403"/>
      <c r="J93" s="403"/>
      <c r="K93" s="403"/>
      <c r="L93" s="403"/>
      <c r="M93" s="403"/>
      <c r="N93" s="404"/>
      <c r="O93" s="399"/>
      <c r="P93" s="400"/>
      <c r="Q93" s="401"/>
      <c r="R93" s="399"/>
      <c r="S93" s="401"/>
    </row>
    <row r="94" spans="1:24" s="177" customFormat="1" ht="21" customHeight="1" outlineLevel="1" x14ac:dyDescent="0.2">
      <c r="A94" s="405"/>
      <c r="B94" s="402" t="s">
        <v>134</v>
      </c>
      <c r="C94" s="403"/>
      <c r="D94" s="403"/>
      <c r="E94" s="403"/>
      <c r="F94" s="403"/>
      <c r="G94" s="403"/>
      <c r="H94" s="403"/>
      <c r="I94" s="403"/>
      <c r="J94" s="403"/>
      <c r="K94" s="403"/>
      <c r="L94" s="403"/>
      <c r="M94" s="403"/>
      <c r="N94" s="404"/>
      <c r="O94" s="399"/>
      <c r="P94" s="400"/>
      <c r="Q94" s="401"/>
      <c r="R94" s="399"/>
      <c r="S94" s="401"/>
    </row>
    <row r="95" spans="1:24" x14ac:dyDescent="0.2">
      <c r="A95" s="436"/>
      <c r="B95" s="436"/>
      <c r="C95" s="436"/>
      <c r="D95" s="436"/>
      <c r="E95" s="436"/>
      <c r="F95" s="436"/>
      <c r="G95" s="436"/>
      <c r="H95" s="436"/>
      <c r="I95" s="436"/>
      <c r="J95" s="436"/>
      <c r="K95" s="436"/>
      <c r="L95" s="436"/>
      <c r="M95" s="436"/>
      <c r="N95" s="436"/>
      <c r="O95" s="436"/>
      <c r="P95" s="436"/>
      <c r="Q95" s="436"/>
      <c r="R95" s="436"/>
      <c r="S95" s="436"/>
    </row>
    <row r="96" spans="1:24" ht="15.75" outlineLevel="1" x14ac:dyDescent="0.2">
      <c r="A96" s="388" t="s">
        <v>133</v>
      </c>
      <c r="B96" s="388"/>
      <c r="C96" s="388"/>
      <c r="D96" s="388"/>
      <c r="E96" s="388"/>
      <c r="F96" s="388"/>
      <c r="G96" s="388"/>
      <c r="H96" s="388"/>
      <c r="I96" s="388"/>
      <c r="J96" s="388"/>
      <c r="K96" s="388"/>
      <c r="L96" s="388"/>
      <c r="M96" s="388"/>
      <c r="N96" s="388"/>
      <c r="O96" s="388"/>
      <c r="P96" s="388"/>
      <c r="Q96" s="388"/>
      <c r="R96" s="388"/>
      <c r="S96" s="388"/>
      <c r="T96" s="388"/>
      <c r="U96" s="388"/>
      <c r="V96" s="388"/>
      <c r="W96" s="388"/>
      <c r="X96" s="388"/>
    </row>
    <row r="97" spans="1:24" outlineLevel="1" x14ac:dyDescent="0.2">
      <c r="A97" s="433" t="s">
        <v>132</v>
      </c>
      <c r="B97" s="435"/>
      <c r="C97" s="433" t="s">
        <v>4</v>
      </c>
      <c r="D97" s="435"/>
      <c r="E97" s="433" t="s">
        <v>131</v>
      </c>
      <c r="F97" s="434"/>
      <c r="G97" s="434"/>
      <c r="H97" s="434"/>
      <c r="I97" s="434"/>
      <c r="J97" s="434"/>
      <c r="K97" s="434"/>
      <c r="L97" s="434"/>
      <c r="M97" s="434"/>
      <c r="N97" s="434"/>
      <c r="O97" s="434"/>
      <c r="P97" s="434"/>
      <c r="Q97" s="435"/>
      <c r="R97" s="440" t="s">
        <v>130</v>
      </c>
      <c r="S97" s="440"/>
      <c r="T97" s="437" t="s">
        <v>129</v>
      </c>
      <c r="U97" s="439"/>
      <c r="V97" s="437" t="s">
        <v>128</v>
      </c>
      <c r="W97" s="438"/>
      <c r="X97" s="439"/>
    </row>
    <row r="98" spans="1:24" outlineLevel="1" x14ac:dyDescent="0.2">
      <c r="A98" s="382"/>
      <c r="B98" s="383"/>
      <c r="C98" s="382"/>
      <c r="D98" s="383"/>
      <c r="E98" s="382"/>
      <c r="F98" s="387"/>
      <c r="G98" s="387"/>
      <c r="H98" s="387"/>
      <c r="I98" s="387"/>
      <c r="J98" s="387"/>
      <c r="K98" s="387"/>
      <c r="L98" s="387"/>
      <c r="M98" s="387"/>
      <c r="N98" s="387"/>
      <c r="O98" s="387"/>
      <c r="P98" s="387"/>
      <c r="Q98" s="383"/>
      <c r="R98" s="382"/>
      <c r="S98" s="383"/>
      <c r="T98" s="382"/>
      <c r="U98" s="383"/>
      <c r="V98" s="382"/>
      <c r="W98" s="387"/>
      <c r="X98" s="383"/>
    </row>
    <row r="99" spans="1:24" outlineLevel="1" x14ac:dyDescent="0.2">
      <c r="A99" s="382"/>
      <c r="B99" s="383"/>
      <c r="C99" s="382"/>
      <c r="D99" s="383"/>
      <c r="E99" s="382"/>
      <c r="F99" s="387"/>
      <c r="G99" s="387"/>
      <c r="H99" s="387"/>
      <c r="I99" s="387"/>
      <c r="J99" s="387"/>
      <c r="K99" s="387"/>
      <c r="L99" s="387"/>
      <c r="M99" s="387"/>
      <c r="N99" s="387"/>
      <c r="O99" s="387"/>
      <c r="P99" s="387"/>
      <c r="Q99" s="383"/>
      <c r="R99" s="382"/>
      <c r="S99" s="383"/>
      <c r="T99" s="382"/>
      <c r="U99" s="383"/>
      <c r="V99" s="382"/>
      <c r="W99" s="387"/>
      <c r="X99" s="383"/>
    </row>
    <row r="100" spans="1:24" outlineLevel="1" x14ac:dyDescent="0.2">
      <c r="A100" s="382"/>
      <c r="B100" s="383"/>
      <c r="C100" s="382"/>
      <c r="D100" s="383"/>
      <c r="E100" s="382"/>
      <c r="F100" s="387"/>
      <c r="G100" s="387"/>
      <c r="H100" s="387"/>
      <c r="I100" s="387"/>
      <c r="J100" s="387"/>
      <c r="K100" s="387"/>
      <c r="L100" s="387"/>
      <c r="M100" s="387"/>
      <c r="N100" s="387"/>
      <c r="O100" s="387"/>
      <c r="P100" s="387"/>
      <c r="Q100" s="383"/>
      <c r="R100" s="382"/>
      <c r="S100" s="383"/>
      <c r="T100" s="382"/>
      <c r="U100" s="383"/>
      <c r="V100" s="382"/>
      <c r="W100" s="387"/>
      <c r="X100" s="383"/>
    </row>
    <row r="101" spans="1:24" outlineLevel="1" x14ac:dyDescent="0.2">
      <c r="A101" s="382"/>
      <c r="B101" s="383"/>
      <c r="C101" s="382"/>
      <c r="D101" s="383"/>
      <c r="E101" s="382"/>
      <c r="F101" s="387"/>
      <c r="G101" s="387"/>
      <c r="H101" s="387"/>
      <c r="I101" s="387"/>
      <c r="J101" s="387"/>
      <c r="K101" s="387"/>
      <c r="L101" s="387"/>
      <c r="M101" s="387"/>
      <c r="N101" s="387"/>
      <c r="O101" s="387"/>
      <c r="P101" s="387"/>
      <c r="Q101" s="383"/>
      <c r="R101" s="382"/>
      <c r="S101" s="383"/>
      <c r="T101" s="382"/>
      <c r="U101" s="383"/>
      <c r="V101" s="382"/>
      <c r="W101" s="387"/>
      <c r="X101" s="383"/>
    </row>
    <row r="102" spans="1:24" outlineLevel="1" x14ac:dyDescent="0.2">
      <c r="A102" s="380"/>
      <c r="B102" s="380"/>
      <c r="C102" s="380"/>
      <c r="D102" s="380"/>
      <c r="E102" s="380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0"/>
      <c r="S102" s="380"/>
      <c r="T102" s="382"/>
      <c r="U102" s="383"/>
      <c r="V102" s="382"/>
      <c r="W102" s="387"/>
      <c r="X102" s="383"/>
    </row>
    <row r="103" spans="1:24" outlineLevel="1" x14ac:dyDescent="0.2">
      <c r="A103" s="380"/>
      <c r="B103" s="380"/>
      <c r="C103" s="380"/>
      <c r="D103" s="380"/>
      <c r="E103" s="380"/>
      <c r="F103" s="380"/>
      <c r="G103" s="380"/>
      <c r="H103" s="380"/>
      <c r="I103" s="380"/>
      <c r="J103" s="380"/>
      <c r="K103" s="380"/>
      <c r="L103" s="380"/>
      <c r="M103" s="380"/>
      <c r="N103" s="380"/>
      <c r="O103" s="380"/>
      <c r="P103" s="380"/>
      <c r="Q103" s="380"/>
      <c r="R103" s="380"/>
      <c r="S103" s="380"/>
      <c r="T103" s="382"/>
      <c r="U103" s="383"/>
      <c r="V103" s="382"/>
      <c r="W103" s="387"/>
      <c r="X103" s="383"/>
    </row>
    <row r="104" spans="1:24" outlineLevel="1" x14ac:dyDescent="0.2">
      <c r="A104" s="380"/>
      <c r="B104" s="380"/>
      <c r="C104" s="380"/>
      <c r="D104" s="380"/>
      <c r="E104" s="380"/>
      <c r="F104" s="380"/>
      <c r="G104" s="380"/>
      <c r="H104" s="380"/>
      <c r="I104" s="38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2"/>
      <c r="U104" s="383"/>
      <c r="V104" s="382"/>
      <c r="W104" s="387"/>
      <c r="X104" s="383"/>
    </row>
    <row r="105" spans="1:24" outlineLevel="1" x14ac:dyDescent="0.2">
      <c r="A105" s="380"/>
      <c r="B105" s="380"/>
      <c r="C105" s="380"/>
      <c r="D105" s="380"/>
      <c r="E105" s="380"/>
      <c r="F105" s="380"/>
      <c r="G105" s="380"/>
      <c r="H105" s="380"/>
      <c r="I105" s="380"/>
      <c r="J105" s="380"/>
      <c r="K105" s="380"/>
      <c r="L105" s="380"/>
      <c r="M105" s="380"/>
      <c r="N105" s="380"/>
      <c r="O105" s="380"/>
      <c r="P105" s="380"/>
      <c r="Q105" s="380"/>
      <c r="R105" s="380"/>
      <c r="S105" s="380"/>
      <c r="T105" s="382"/>
      <c r="U105" s="383"/>
      <c r="V105" s="382"/>
      <c r="W105" s="387"/>
      <c r="X105" s="383"/>
    </row>
    <row r="106" spans="1:24" outlineLevel="1" x14ac:dyDescent="0.2">
      <c r="A106" s="380"/>
      <c r="B106" s="380"/>
      <c r="C106" s="380"/>
      <c r="D106" s="380"/>
      <c r="E106" s="380"/>
      <c r="F106" s="380"/>
      <c r="G106" s="380"/>
      <c r="H106" s="380"/>
      <c r="I106" s="380"/>
      <c r="J106" s="380"/>
      <c r="K106" s="380"/>
      <c r="L106" s="380"/>
      <c r="M106" s="380"/>
      <c r="N106" s="380"/>
      <c r="O106" s="380"/>
      <c r="P106" s="380"/>
      <c r="Q106" s="380"/>
      <c r="R106" s="380"/>
      <c r="S106" s="380"/>
      <c r="T106" s="382"/>
      <c r="U106" s="383"/>
      <c r="V106" s="382"/>
      <c r="W106" s="387"/>
      <c r="X106" s="383"/>
    </row>
    <row r="107" spans="1:24" outlineLevel="1" x14ac:dyDescent="0.2">
      <c r="A107" s="380"/>
      <c r="B107" s="380"/>
      <c r="C107" s="380"/>
      <c r="D107" s="380"/>
      <c r="E107" s="380"/>
      <c r="F107" s="380"/>
      <c r="G107" s="380"/>
      <c r="H107" s="380"/>
      <c r="I107" s="380"/>
      <c r="J107" s="380"/>
      <c r="K107" s="380"/>
      <c r="L107" s="380"/>
      <c r="M107" s="380"/>
      <c r="N107" s="380"/>
      <c r="O107" s="380"/>
      <c r="P107" s="380"/>
      <c r="Q107" s="380"/>
      <c r="R107" s="380"/>
      <c r="S107" s="380"/>
      <c r="T107" s="382"/>
      <c r="U107" s="383"/>
      <c r="V107" s="382"/>
      <c r="W107" s="387"/>
      <c r="X107" s="383"/>
    </row>
    <row r="108" spans="1:24" outlineLevel="1" x14ac:dyDescent="0.2">
      <c r="A108" s="380"/>
      <c r="B108" s="380"/>
      <c r="C108" s="380"/>
      <c r="D108" s="380"/>
      <c r="E108" s="380"/>
      <c r="F108" s="380"/>
      <c r="G108" s="380"/>
      <c r="H108" s="380"/>
      <c r="I108" s="380"/>
      <c r="J108" s="380"/>
      <c r="K108" s="380"/>
      <c r="L108" s="380"/>
      <c r="M108" s="380"/>
      <c r="N108" s="380"/>
      <c r="O108" s="380"/>
      <c r="P108" s="380"/>
      <c r="Q108" s="380"/>
      <c r="R108" s="380"/>
      <c r="S108" s="380"/>
      <c r="T108" s="382"/>
      <c r="U108" s="383"/>
      <c r="V108" s="382"/>
      <c r="W108" s="387"/>
      <c r="X108" s="383"/>
    </row>
    <row r="109" spans="1:24" outlineLevel="1" x14ac:dyDescent="0.2">
      <c r="A109" s="380"/>
      <c r="B109" s="380"/>
      <c r="C109" s="380"/>
      <c r="D109" s="380"/>
      <c r="E109" s="380"/>
      <c r="F109" s="380"/>
      <c r="G109" s="380"/>
      <c r="H109" s="380"/>
      <c r="I109" s="380"/>
      <c r="J109" s="380"/>
      <c r="K109" s="380"/>
      <c r="L109" s="380"/>
      <c r="M109" s="380"/>
      <c r="N109" s="380"/>
      <c r="O109" s="380"/>
      <c r="P109" s="380"/>
      <c r="Q109" s="380"/>
      <c r="R109" s="380"/>
      <c r="S109" s="380"/>
      <c r="T109" s="382"/>
      <c r="U109" s="383"/>
      <c r="V109" s="382"/>
      <c r="W109" s="387"/>
      <c r="X109" s="383"/>
    </row>
    <row r="110" spans="1:24" outlineLevel="1" x14ac:dyDescent="0.2">
      <c r="A110" s="380"/>
      <c r="B110" s="380"/>
      <c r="C110" s="380"/>
      <c r="D110" s="380"/>
      <c r="E110" s="380"/>
      <c r="F110" s="380"/>
      <c r="G110" s="380"/>
      <c r="H110" s="380"/>
      <c r="I110" s="380"/>
      <c r="J110" s="380"/>
      <c r="K110" s="380"/>
      <c r="L110" s="380"/>
      <c r="M110" s="380"/>
      <c r="N110" s="380"/>
      <c r="O110" s="380"/>
      <c r="P110" s="380"/>
      <c r="Q110" s="380"/>
      <c r="R110" s="380"/>
      <c r="S110" s="380"/>
      <c r="T110" s="382"/>
      <c r="U110" s="383"/>
      <c r="V110" s="382"/>
      <c r="W110" s="387"/>
      <c r="X110" s="383"/>
    </row>
    <row r="111" spans="1:24" x14ac:dyDescent="0.2">
      <c r="A111" s="441"/>
      <c r="B111" s="441"/>
      <c r="C111" s="441"/>
      <c r="D111" s="441"/>
      <c r="E111" s="441"/>
      <c r="F111" s="441"/>
      <c r="G111" s="441"/>
      <c r="H111" s="441"/>
      <c r="I111" s="44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</row>
    <row r="112" spans="1:24" ht="15.75" outlineLevel="1" x14ac:dyDescent="0.2">
      <c r="A112" s="388" t="s">
        <v>253</v>
      </c>
      <c r="B112" s="388"/>
      <c r="C112" s="388"/>
      <c r="D112" s="388"/>
      <c r="E112" s="388"/>
      <c r="F112" s="388"/>
      <c r="G112" s="388"/>
      <c r="H112" s="388"/>
      <c r="I112" s="388"/>
      <c r="J112" s="388"/>
      <c r="K112" s="388"/>
      <c r="L112" s="388"/>
      <c r="M112" s="388"/>
      <c r="N112" s="388"/>
      <c r="O112" s="388"/>
      <c r="P112" s="388"/>
      <c r="Q112" s="388"/>
      <c r="R112" s="388"/>
      <c r="S112" s="388"/>
      <c r="T112" s="388"/>
      <c r="U112" s="388"/>
      <c r="V112" s="388"/>
      <c r="W112" s="388"/>
      <c r="X112" s="388"/>
    </row>
    <row r="113" spans="1:24" outlineLevel="1" x14ac:dyDescent="0.2">
      <c r="A113" s="389" t="s">
        <v>127</v>
      </c>
      <c r="B113" s="389"/>
      <c r="C113" s="389" t="s">
        <v>252</v>
      </c>
      <c r="D113" s="389"/>
      <c r="E113" s="389" t="s">
        <v>126</v>
      </c>
      <c r="F113" s="389"/>
      <c r="G113" s="389" t="s">
        <v>125</v>
      </c>
      <c r="H113" s="389"/>
      <c r="I113" s="389"/>
      <c r="J113" s="389" t="s">
        <v>124</v>
      </c>
      <c r="K113" s="389"/>
      <c r="L113" s="389"/>
      <c r="M113" s="389"/>
      <c r="N113" s="389"/>
      <c r="O113" s="389"/>
      <c r="P113" s="389"/>
      <c r="Q113" s="389"/>
      <c r="R113" s="389"/>
      <c r="S113" s="389"/>
      <c r="T113" s="389"/>
      <c r="U113" s="389"/>
      <c r="V113" s="389"/>
      <c r="W113" s="389"/>
      <c r="X113" s="389"/>
    </row>
    <row r="114" spans="1:24" outlineLevel="1" x14ac:dyDescent="0.2">
      <c r="A114" s="382"/>
      <c r="B114" s="383"/>
      <c r="C114" s="382"/>
      <c r="D114" s="383"/>
      <c r="E114" s="382"/>
      <c r="F114" s="383"/>
      <c r="G114" s="384"/>
      <c r="H114" s="385"/>
      <c r="I114" s="386"/>
      <c r="J114" s="382"/>
      <c r="K114" s="387"/>
      <c r="L114" s="387"/>
      <c r="M114" s="387"/>
      <c r="N114" s="387"/>
      <c r="O114" s="387"/>
      <c r="P114" s="387"/>
      <c r="Q114" s="387"/>
      <c r="R114" s="387"/>
      <c r="S114" s="387"/>
      <c r="T114" s="387"/>
      <c r="U114" s="387"/>
      <c r="V114" s="387"/>
      <c r="W114" s="387"/>
      <c r="X114" s="383"/>
    </row>
    <row r="115" spans="1:24" outlineLevel="1" x14ac:dyDescent="0.2">
      <c r="A115" s="382"/>
      <c r="B115" s="383"/>
      <c r="C115" s="382"/>
      <c r="D115" s="383"/>
      <c r="E115" s="382"/>
      <c r="F115" s="383"/>
      <c r="G115" s="384"/>
      <c r="H115" s="385"/>
      <c r="I115" s="386"/>
      <c r="J115" s="382"/>
      <c r="K115" s="387"/>
      <c r="L115" s="387"/>
      <c r="M115" s="387"/>
      <c r="N115" s="387"/>
      <c r="O115" s="387"/>
      <c r="P115" s="387"/>
      <c r="Q115" s="387"/>
      <c r="R115" s="387"/>
      <c r="S115" s="387"/>
      <c r="T115" s="387"/>
      <c r="U115" s="387"/>
      <c r="V115" s="387"/>
      <c r="W115" s="387"/>
      <c r="X115" s="383"/>
    </row>
    <row r="116" spans="1:24" outlineLevel="1" x14ac:dyDescent="0.2">
      <c r="A116" s="382"/>
      <c r="B116" s="383"/>
      <c r="C116" s="382"/>
      <c r="D116" s="383"/>
      <c r="E116" s="382"/>
      <c r="F116" s="383"/>
      <c r="G116" s="384"/>
      <c r="H116" s="385"/>
      <c r="I116" s="386"/>
      <c r="J116" s="382"/>
      <c r="K116" s="387"/>
      <c r="L116" s="387"/>
      <c r="M116" s="387"/>
      <c r="N116" s="387"/>
      <c r="O116" s="387"/>
      <c r="P116" s="387"/>
      <c r="Q116" s="387"/>
      <c r="R116" s="387"/>
      <c r="S116" s="387"/>
      <c r="T116" s="387"/>
      <c r="U116" s="387"/>
      <c r="V116" s="387"/>
      <c r="W116" s="387"/>
      <c r="X116" s="383"/>
    </row>
    <row r="117" spans="1:24" outlineLevel="1" x14ac:dyDescent="0.2">
      <c r="A117" s="382"/>
      <c r="B117" s="383"/>
      <c r="C117" s="382"/>
      <c r="D117" s="383"/>
      <c r="E117" s="382"/>
      <c r="F117" s="383"/>
      <c r="G117" s="384"/>
      <c r="H117" s="385"/>
      <c r="I117" s="386"/>
      <c r="J117" s="382"/>
      <c r="K117" s="387"/>
      <c r="L117" s="387"/>
      <c r="M117" s="387"/>
      <c r="N117" s="387"/>
      <c r="O117" s="387"/>
      <c r="P117" s="387"/>
      <c r="Q117" s="387"/>
      <c r="R117" s="387"/>
      <c r="S117" s="387"/>
      <c r="T117" s="387"/>
      <c r="U117" s="387"/>
      <c r="V117" s="387"/>
      <c r="W117" s="387"/>
      <c r="X117" s="383"/>
    </row>
    <row r="118" spans="1:24" outlineLevel="1" x14ac:dyDescent="0.2">
      <c r="A118" s="382"/>
      <c r="B118" s="383"/>
      <c r="C118" s="382"/>
      <c r="D118" s="383"/>
      <c r="E118" s="382"/>
      <c r="F118" s="383"/>
      <c r="G118" s="384"/>
      <c r="H118" s="385"/>
      <c r="I118" s="386"/>
      <c r="J118" s="382"/>
      <c r="K118" s="387"/>
      <c r="L118" s="387"/>
      <c r="M118" s="387"/>
      <c r="N118" s="387"/>
      <c r="O118" s="387"/>
      <c r="P118" s="387"/>
      <c r="Q118" s="387"/>
      <c r="R118" s="387"/>
      <c r="S118" s="387"/>
      <c r="T118" s="387"/>
      <c r="U118" s="387"/>
      <c r="V118" s="387"/>
      <c r="W118" s="387"/>
      <c r="X118" s="383"/>
    </row>
    <row r="119" spans="1:24" outlineLevel="1" x14ac:dyDescent="0.2">
      <c r="A119" s="382"/>
      <c r="B119" s="383"/>
      <c r="C119" s="382"/>
      <c r="D119" s="383"/>
      <c r="E119" s="382"/>
      <c r="F119" s="383"/>
      <c r="G119" s="384"/>
      <c r="H119" s="385"/>
      <c r="I119" s="386"/>
      <c r="J119" s="382"/>
      <c r="K119" s="387"/>
      <c r="L119" s="387"/>
      <c r="M119" s="387"/>
      <c r="N119" s="387"/>
      <c r="O119" s="387"/>
      <c r="P119" s="387"/>
      <c r="Q119" s="387"/>
      <c r="R119" s="387"/>
      <c r="S119" s="387"/>
      <c r="T119" s="387"/>
      <c r="U119" s="387"/>
      <c r="V119" s="387"/>
      <c r="W119" s="387"/>
      <c r="X119" s="383"/>
    </row>
    <row r="120" spans="1:24" outlineLevel="1" x14ac:dyDescent="0.2">
      <c r="A120" s="382"/>
      <c r="B120" s="383"/>
      <c r="C120" s="382"/>
      <c r="D120" s="383"/>
      <c r="E120" s="382"/>
      <c r="F120" s="383"/>
      <c r="G120" s="384"/>
      <c r="H120" s="385"/>
      <c r="I120" s="386"/>
      <c r="J120" s="382"/>
      <c r="K120" s="387"/>
      <c r="L120" s="387"/>
      <c r="M120" s="387"/>
      <c r="N120" s="387"/>
      <c r="O120" s="387"/>
      <c r="P120" s="387"/>
      <c r="Q120" s="387"/>
      <c r="R120" s="387"/>
      <c r="S120" s="387"/>
      <c r="T120" s="387"/>
      <c r="U120" s="387"/>
      <c r="V120" s="387"/>
      <c r="W120" s="387"/>
      <c r="X120" s="383"/>
    </row>
    <row r="121" spans="1:24" outlineLevel="1" x14ac:dyDescent="0.2">
      <c r="A121" s="382"/>
      <c r="B121" s="383"/>
      <c r="C121" s="382"/>
      <c r="D121" s="383"/>
      <c r="E121" s="382"/>
      <c r="F121" s="383"/>
      <c r="G121" s="384"/>
      <c r="H121" s="385"/>
      <c r="I121" s="386"/>
      <c r="J121" s="382"/>
      <c r="K121" s="387"/>
      <c r="L121" s="387"/>
      <c r="M121" s="387"/>
      <c r="N121" s="387"/>
      <c r="O121" s="387"/>
      <c r="P121" s="387"/>
      <c r="Q121" s="387"/>
      <c r="R121" s="387"/>
      <c r="S121" s="387"/>
      <c r="T121" s="387"/>
      <c r="U121" s="387"/>
      <c r="V121" s="387"/>
      <c r="W121" s="387"/>
      <c r="X121" s="383"/>
    </row>
    <row r="122" spans="1:24" outlineLevel="1" x14ac:dyDescent="0.2">
      <c r="A122" s="380"/>
      <c r="B122" s="380"/>
      <c r="C122" s="380"/>
      <c r="D122" s="380"/>
      <c r="E122" s="380"/>
      <c r="F122" s="380"/>
      <c r="G122" s="381"/>
      <c r="H122" s="381"/>
      <c r="I122" s="381"/>
      <c r="J122" s="380"/>
      <c r="K122" s="380"/>
      <c r="L122" s="380"/>
      <c r="M122" s="380"/>
      <c r="N122" s="380"/>
      <c r="O122" s="380"/>
      <c r="P122" s="380"/>
      <c r="Q122" s="380"/>
      <c r="R122" s="380"/>
      <c r="S122" s="380"/>
      <c r="T122" s="380"/>
      <c r="U122" s="380"/>
      <c r="V122" s="380"/>
      <c r="W122" s="380"/>
      <c r="X122" s="380"/>
    </row>
    <row r="123" spans="1:24" outlineLevel="1" x14ac:dyDescent="0.2">
      <c r="A123" s="380"/>
      <c r="B123" s="380"/>
      <c r="C123" s="380"/>
      <c r="D123" s="380"/>
      <c r="E123" s="380"/>
      <c r="F123" s="380"/>
      <c r="G123" s="381"/>
      <c r="H123" s="381"/>
      <c r="I123" s="381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</row>
    <row r="124" spans="1:24" outlineLevel="1" x14ac:dyDescent="0.2">
      <c r="A124" s="382"/>
      <c r="B124" s="383"/>
      <c r="C124" s="382"/>
      <c r="D124" s="383"/>
      <c r="E124" s="380"/>
      <c r="F124" s="380"/>
      <c r="G124" s="384"/>
      <c r="H124" s="385"/>
      <c r="I124" s="386"/>
      <c r="J124" s="380"/>
      <c r="K124" s="380"/>
      <c r="L124" s="380"/>
      <c r="M124" s="380"/>
      <c r="N124" s="380"/>
      <c r="O124" s="380"/>
      <c r="P124" s="380"/>
      <c r="Q124" s="380"/>
      <c r="R124" s="380"/>
      <c r="S124" s="380"/>
      <c r="T124" s="380"/>
      <c r="U124" s="380"/>
      <c r="V124" s="380"/>
      <c r="W124" s="380"/>
      <c r="X124" s="380"/>
    </row>
    <row r="125" spans="1:24" outlineLevel="1" x14ac:dyDescent="0.2">
      <c r="A125" s="136"/>
      <c r="B125" s="135"/>
      <c r="C125" s="136"/>
      <c r="D125" s="135"/>
      <c r="E125" s="442"/>
      <c r="F125" s="443"/>
      <c r="G125" s="134"/>
      <c r="H125" s="133"/>
      <c r="I125" s="132"/>
      <c r="J125" s="442"/>
      <c r="K125" s="444"/>
      <c r="L125" s="444"/>
      <c r="M125" s="444"/>
      <c r="N125" s="444"/>
      <c r="O125" s="444"/>
      <c r="P125" s="444"/>
      <c r="Q125" s="444"/>
      <c r="R125" s="444"/>
      <c r="S125" s="444"/>
      <c r="T125" s="444"/>
      <c r="U125" s="444"/>
      <c r="V125" s="444"/>
      <c r="W125" s="444"/>
      <c r="X125" s="443"/>
    </row>
    <row r="126" spans="1:24" outlineLevel="1" x14ac:dyDescent="0.2">
      <c r="A126" s="382"/>
      <c r="B126" s="383"/>
      <c r="C126" s="382"/>
      <c r="D126" s="383"/>
      <c r="E126" s="380"/>
      <c r="F126" s="380"/>
      <c r="G126" s="384"/>
      <c r="H126" s="385"/>
      <c r="I126" s="386"/>
      <c r="J126" s="380"/>
      <c r="K126" s="380"/>
      <c r="L126" s="380"/>
      <c r="M126" s="380"/>
      <c r="N126" s="380"/>
      <c r="O126" s="380"/>
      <c r="P126" s="380"/>
      <c r="Q126" s="380"/>
      <c r="R126" s="380"/>
      <c r="S126" s="380"/>
      <c r="T126" s="380"/>
      <c r="U126" s="380"/>
      <c r="V126" s="380"/>
      <c r="W126" s="380"/>
      <c r="X126" s="380"/>
    </row>
    <row r="127" spans="1:24" outlineLevel="1" x14ac:dyDescent="0.2">
      <c r="A127" s="382"/>
      <c r="B127" s="383"/>
      <c r="C127" s="382"/>
      <c r="D127" s="383"/>
      <c r="E127" s="380"/>
      <c r="F127" s="380"/>
      <c r="G127" s="384"/>
      <c r="H127" s="385"/>
      <c r="I127" s="386"/>
      <c r="J127" s="380"/>
      <c r="K127" s="380"/>
      <c r="L127" s="380"/>
      <c r="M127" s="380"/>
      <c r="N127" s="380"/>
      <c r="O127" s="380"/>
      <c r="P127" s="380"/>
      <c r="Q127" s="380"/>
      <c r="R127" s="380"/>
      <c r="S127" s="380"/>
      <c r="T127" s="380"/>
      <c r="U127" s="380"/>
      <c r="V127" s="380"/>
      <c r="W127" s="380"/>
      <c r="X127" s="380"/>
    </row>
    <row r="128" spans="1:24" outlineLevel="1" x14ac:dyDescent="0.2">
      <c r="A128" s="382"/>
      <c r="B128" s="383"/>
      <c r="C128" s="382"/>
      <c r="D128" s="383"/>
      <c r="E128" s="382"/>
      <c r="F128" s="383"/>
      <c r="G128" s="384"/>
      <c r="H128" s="385"/>
      <c r="I128" s="386"/>
      <c r="J128" s="382"/>
      <c r="K128" s="387"/>
      <c r="L128" s="387"/>
      <c r="M128" s="387"/>
      <c r="N128" s="387"/>
      <c r="O128" s="387"/>
      <c r="P128" s="387"/>
      <c r="Q128" s="387"/>
      <c r="R128" s="387"/>
      <c r="S128" s="387"/>
      <c r="T128" s="387"/>
      <c r="U128" s="387"/>
      <c r="V128" s="387"/>
      <c r="W128" s="387"/>
      <c r="X128" s="383"/>
    </row>
    <row r="129" spans="1:24" outlineLevel="1" x14ac:dyDescent="0.2">
      <c r="A129" s="382"/>
      <c r="B129" s="383"/>
      <c r="C129" s="382"/>
      <c r="D129" s="383"/>
      <c r="E129" s="382"/>
      <c r="F129" s="383"/>
      <c r="G129" s="384"/>
      <c r="H129" s="385"/>
      <c r="I129" s="386"/>
      <c r="J129" s="382"/>
      <c r="K129" s="387"/>
      <c r="L129" s="387"/>
      <c r="M129" s="387"/>
      <c r="N129" s="387"/>
      <c r="O129" s="387"/>
      <c r="P129" s="387"/>
      <c r="Q129" s="387"/>
      <c r="R129" s="387"/>
      <c r="S129" s="387"/>
      <c r="T129" s="387"/>
      <c r="U129" s="387"/>
      <c r="V129" s="387"/>
      <c r="W129" s="387"/>
      <c r="X129" s="383"/>
    </row>
    <row r="131" spans="1:24" ht="15.75" outlineLevel="1" x14ac:dyDescent="0.2">
      <c r="A131" s="388" t="s">
        <v>255</v>
      </c>
      <c r="B131" s="388"/>
      <c r="C131" s="388"/>
      <c r="D131" s="388"/>
      <c r="E131" s="388"/>
      <c r="F131" s="388"/>
      <c r="G131" s="388"/>
      <c r="H131" s="388"/>
      <c r="I131" s="388"/>
      <c r="J131" s="388"/>
      <c r="K131" s="388"/>
      <c r="L131" s="388"/>
      <c r="M131" s="388"/>
      <c r="N131" s="388"/>
      <c r="O131" s="388"/>
      <c r="P131" s="388"/>
      <c r="Q131" s="388"/>
      <c r="R131" s="388"/>
      <c r="S131" s="388"/>
      <c r="T131" s="388"/>
      <c r="U131" s="388"/>
      <c r="V131" s="388"/>
      <c r="W131" s="388"/>
      <c r="X131" s="388"/>
    </row>
    <row r="132" spans="1:24" outlineLevel="1" x14ac:dyDescent="0.2">
      <c r="A132" s="389" t="s">
        <v>127</v>
      </c>
      <c r="B132" s="389"/>
      <c r="C132" s="389" t="s">
        <v>252</v>
      </c>
      <c r="D132" s="389"/>
      <c r="E132" s="389" t="s">
        <v>126</v>
      </c>
      <c r="F132" s="389"/>
      <c r="G132" s="389" t="s">
        <v>125</v>
      </c>
      <c r="H132" s="389"/>
      <c r="I132" s="389"/>
      <c r="J132" s="389" t="s">
        <v>124</v>
      </c>
      <c r="K132" s="389"/>
      <c r="L132" s="389"/>
      <c r="M132" s="389"/>
      <c r="N132" s="389"/>
      <c r="O132" s="389"/>
      <c r="P132" s="389"/>
      <c r="Q132" s="389"/>
      <c r="R132" s="389"/>
      <c r="S132" s="389"/>
      <c r="T132" s="389"/>
      <c r="U132" s="389"/>
      <c r="V132" s="389"/>
      <c r="W132" s="389"/>
      <c r="X132" s="389"/>
    </row>
    <row r="133" spans="1:24" outlineLevel="1" x14ac:dyDescent="0.2">
      <c r="A133" s="382"/>
      <c r="B133" s="383"/>
      <c r="C133" s="382"/>
      <c r="D133" s="383"/>
      <c r="E133" s="382"/>
      <c r="F133" s="383"/>
      <c r="G133" s="384"/>
      <c r="H133" s="385"/>
      <c r="I133" s="386"/>
      <c r="J133" s="382"/>
      <c r="K133" s="387"/>
      <c r="L133" s="387"/>
      <c r="M133" s="387"/>
      <c r="N133" s="387"/>
      <c r="O133" s="387"/>
      <c r="P133" s="387"/>
      <c r="Q133" s="387"/>
      <c r="R133" s="387"/>
      <c r="S133" s="387"/>
      <c r="T133" s="387"/>
      <c r="U133" s="387"/>
      <c r="V133" s="387"/>
      <c r="W133" s="387"/>
      <c r="X133" s="383"/>
    </row>
    <row r="134" spans="1:24" outlineLevel="1" x14ac:dyDescent="0.2">
      <c r="A134" s="382"/>
      <c r="B134" s="383"/>
      <c r="C134" s="382"/>
      <c r="D134" s="383"/>
      <c r="E134" s="382"/>
      <c r="F134" s="383"/>
      <c r="G134" s="384"/>
      <c r="H134" s="385"/>
      <c r="I134" s="386"/>
      <c r="J134" s="382"/>
      <c r="K134" s="387"/>
      <c r="L134" s="387"/>
      <c r="M134" s="387"/>
      <c r="N134" s="387"/>
      <c r="O134" s="387"/>
      <c r="P134" s="387"/>
      <c r="Q134" s="387"/>
      <c r="R134" s="387"/>
      <c r="S134" s="387"/>
      <c r="T134" s="387"/>
      <c r="U134" s="387"/>
      <c r="V134" s="387"/>
      <c r="W134" s="387"/>
      <c r="X134" s="383"/>
    </row>
    <row r="135" spans="1:24" outlineLevel="1" x14ac:dyDescent="0.2">
      <c r="A135" s="382"/>
      <c r="B135" s="383"/>
      <c r="C135" s="382"/>
      <c r="D135" s="383"/>
      <c r="E135" s="382"/>
      <c r="F135" s="383"/>
      <c r="G135" s="384"/>
      <c r="H135" s="385"/>
      <c r="I135" s="386"/>
      <c r="J135" s="382"/>
      <c r="K135" s="387"/>
      <c r="L135" s="387"/>
      <c r="M135" s="387"/>
      <c r="N135" s="387"/>
      <c r="O135" s="387"/>
      <c r="P135" s="387"/>
      <c r="Q135" s="387"/>
      <c r="R135" s="387"/>
      <c r="S135" s="387"/>
      <c r="T135" s="387"/>
      <c r="U135" s="387"/>
      <c r="V135" s="387"/>
      <c r="W135" s="387"/>
      <c r="X135" s="383"/>
    </row>
    <row r="136" spans="1:24" outlineLevel="1" x14ac:dyDescent="0.2">
      <c r="A136" s="382"/>
      <c r="B136" s="383"/>
      <c r="C136" s="382"/>
      <c r="D136" s="383"/>
      <c r="E136" s="382"/>
      <c r="F136" s="383"/>
      <c r="G136" s="384"/>
      <c r="H136" s="385"/>
      <c r="I136" s="386"/>
      <c r="J136" s="382"/>
      <c r="K136" s="387"/>
      <c r="L136" s="387"/>
      <c r="M136" s="387"/>
      <c r="N136" s="387"/>
      <c r="O136" s="387"/>
      <c r="P136" s="387"/>
      <c r="Q136" s="387"/>
      <c r="R136" s="387"/>
      <c r="S136" s="387"/>
      <c r="T136" s="387"/>
      <c r="U136" s="387"/>
      <c r="V136" s="387"/>
      <c r="W136" s="387"/>
      <c r="X136" s="383"/>
    </row>
    <row r="137" spans="1:24" outlineLevel="1" x14ac:dyDescent="0.2">
      <c r="A137" s="382"/>
      <c r="B137" s="383"/>
      <c r="C137" s="382"/>
      <c r="D137" s="383"/>
      <c r="E137" s="382"/>
      <c r="F137" s="383"/>
      <c r="G137" s="384"/>
      <c r="H137" s="385"/>
      <c r="I137" s="386"/>
      <c r="J137" s="382"/>
      <c r="K137" s="387"/>
      <c r="L137" s="387"/>
      <c r="M137" s="387"/>
      <c r="N137" s="387"/>
      <c r="O137" s="387"/>
      <c r="P137" s="387"/>
      <c r="Q137" s="387"/>
      <c r="R137" s="387"/>
      <c r="S137" s="387"/>
      <c r="T137" s="387"/>
      <c r="U137" s="387"/>
      <c r="V137" s="387"/>
      <c r="W137" s="387"/>
      <c r="X137" s="383"/>
    </row>
    <row r="138" spans="1:24" outlineLevel="1" x14ac:dyDescent="0.2">
      <c r="A138" s="382"/>
      <c r="B138" s="383"/>
      <c r="C138" s="382"/>
      <c r="D138" s="383"/>
      <c r="E138" s="382"/>
      <c r="F138" s="383"/>
      <c r="G138" s="384"/>
      <c r="H138" s="385"/>
      <c r="I138" s="386"/>
      <c r="J138" s="382"/>
      <c r="K138" s="387"/>
      <c r="L138" s="387"/>
      <c r="M138" s="387"/>
      <c r="N138" s="387"/>
      <c r="O138" s="387"/>
      <c r="P138" s="387"/>
      <c r="Q138" s="387"/>
      <c r="R138" s="387"/>
      <c r="S138" s="387"/>
      <c r="T138" s="387"/>
      <c r="U138" s="387"/>
      <c r="V138" s="387"/>
      <c r="W138" s="387"/>
      <c r="X138" s="383"/>
    </row>
    <row r="139" spans="1:24" outlineLevel="1" x14ac:dyDescent="0.2">
      <c r="A139" s="382"/>
      <c r="B139" s="383"/>
      <c r="C139" s="382"/>
      <c r="D139" s="383"/>
      <c r="E139" s="382"/>
      <c r="F139" s="383"/>
      <c r="G139" s="384"/>
      <c r="H139" s="385"/>
      <c r="I139" s="386"/>
      <c r="J139" s="382"/>
      <c r="K139" s="387"/>
      <c r="L139" s="387"/>
      <c r="M139" s="387"/>
      <c r="N139" s="387"/>
      <c r="O139" s="387"/>
      <c r="P139" s="387"/>
      <c r="Q139" s="387"/>
      <c r="R139" s="387"/>
      <c r="S139" s="387"/>
      <c r="T139" s="387"/>
      <c r="U139" s="387"/>
      <c r="V139" s="387"/>
      <c r="W139" s="387"/>
      <c r="X139" s="383"/>
    </row>
    <row r="140" spans="1:24" outlineLevel="1" x14ac:dyDescent="0.2">
      <c r="A140" s="382"/>
      <c r="B140" s="383"/>
      <c r="C140" s="382"/>
      <c r="D140" s="383"/>
      <c r="E140" s="382"/>
      <c r="F140" s="383"/>
      <c r="G140" s="384"/>
      <c r="H140" s="385"/>
      <c r="I140" s="386"/>
      <c r="J140" s="382"/>
      <c r="K140" s="387"/>
      <c r="L140" s="387"/>
      <c r="M140" s="387"/>
      <c r="N140" s="387"/>
      <c r="O140" s="387"/>
      <c r="P140" s="387"/>
      <c r="Q140" s="387"/>
      <c r="R140" s="387"/>
      <c r="S140" s="387"/>
      <c r="T140" s="387"/>
      <c r="U140" s="387"/>
      <c r="V140" s="387"/>
      <c r="W140" s="387"/>
      <c r="X140" s="383"/>
    </row>
    <row r="141" spans="1:24" outlineLevel="1" x14ac:dyDescent="0.2">
      <c r="A141" s="380"/>
      <c r="B141" s="380"/>
      <c r="C141" s="380"/>
      <c r="D141" s="380"/>
      <c r="E141" s="380"/>
      <c r="F141" s="380"/>
      <c r="G141" s="381"/>
      <c r="H141" s="381"/>
      <c r="I141" s="381"/>
      <c r="J141" s="380"/>
      <c r="K141" s="380"/>
      <c r="L141" s="380"/>
      <c r="M141" s="380"/>
      <c r="N141" s="380"/>
      <c r="O141" s="380"/>
      <c r="P141" s="380"/>
      <c r="Q141" s="380"/>
      <c r="R141" s="380"/>
      <c r="S141" s="380"/>
      <c r="T141" s="380"/>
      <c r="U141" s="380"/>
      <c r="V141" s="380"/>
      <c r="W141" s="380"/>
      <c r="X141" s="380"/>
    </row>
    <row r="142" spans="1:24" outlineLevel="1" x14ac:dyDescent="0.2">
      <c r="A142" s="380"/>
      <c r="B142" s="380"/>
      <c r="C142" s="380"/>
      <c r="D142" s="380"/>
      <c r="E142" s="380"/>
      <c r="F142" s="380"/>
      <c r="G142" s="381"/>
      <c r="H142" s="381"/>
      <c r="I142" s="381"/>
      <c r="J142" s="380"/>
      <c r="K142" s="380"/>
      <c r="L142" s="380"/>
      <c r="M142" s="380"/>
      <c r="N142" s="380"/>
      <c r="O142" s="380"/>
      <c r="P142" s="380"/>
      <c r="Q142" s="380"/>
      <c r="R142" s="380"/>
      <c r="S142" s="380"/>
      <c r="T142" s="380"/>
      <c r="U142" s="380"/>
      <c r="V142" s="380"/>
      <c r="W142" s="380"/>
      <c r="X142" s="380"/>
    </row>
    <row r="143" spans="1:24" outlineLevel="1" x14ac:dyDescent="0.2">
      <c r="A143" s="382"/>
      <c r="B143" s="383"/>
      <c r="C143" s="382"/>
      <c r="D143" s="383"/>
      <c r="E143" s="380"/>
      <c r="F143" s="380"/>
      <c r="G143" s="384"/>
      <c r="H143" s="385"/>
      <c r="I143" s="386"/>
      <c r="J143" s="380"/>
      <c r="K143" s="380"/>
      <c r="L143" s="380"/>
      <c r="M143" s="380"/>
      <c r="N143" s="380"/>
      <c r="O143" s="380"/>
      <c r="P143" s="380"/>
      <c r="Q143" s="380"/>
      <c r="R143" s="380"/>
      <c r="S143" s="380"/>
      <c r="T143" s="380"/>
      <c r="U143" s="380"/>
      <c r="V143" s="380"/>
      <c r="W143" s="380"/>
      <c r="X143" s="380"/>
    </row>
    <row r="144" spans="1:24" x14ac:dyDescent="0.2">
      <c r="A144" s="179"/>
      <c r="B144" s="180"/>
      <c r="C144" s="180"/>
      <c r="D144" s="180"/>
      <c r="E144" s="180"/>
      <c r="F144" s="180"/>
      <c r="G144" s="178"/>
      <c r="H144" s="178"/>
      <c r="I144" s="178"/>
      <c r="J144" s="180"/>
      <c r="K144" s="180"/>
      <c r="L144" s="180"/>
      <c r="M144" s="180"/>
      <c r="N144" s="180"/>
      <c r="O144" s="180"/>
      <c r="P144" s="180"/>
      <c r="Q144" s="180"/>
      <c r="R144" s="180"/>
      <c r="S144" s="180"/>
      <c r="T144" s="138"/>
      <c r="U144" s="138"/>
      <c r="V144" s="138"/>
      <c r="W144" s="138"/>
      <c r="X144" s="138"/>
    </row>
    <row r="145" spans="1:24" ht="15.75" customHeight="1" outlineLevel="1" x14ac:dyDescent="0.2">
      <c r="A145" s="396" t="s">
        <v>256</v>
      </c>
      <c r="B145" s="397"/>
      <c r="C145" s="397"/>
      <c r="D145" s="397"/>
      <c r="E145" s="397"/>
      <c r="F145" s="397"/>
      <c r="G145" s="397"/>
      <c r="H145" s="397"/>
      <c r="I145" s="397"/>
      <c r="J145" s="397"/>
      <c r="K145" s="397"/>
      <c r="L145" s="397"/>
      <c r="M145" s="397"/>
      <c r="N145" s="397"/>
      <c r="O145" s="397"/>
      <c r="P145" s="397"/>
      <c r="Q145" s="397"/>
      <c r="R145" s="397"/>
      <c r="S145" s="398"/>
    </row>
    <row r="146" spans="1:24" ht="15.75" customHeight="1" outlineLevel="1" x14ac:dyDescent="0.2">
      <c r="A146" s="150" t="s">
        <v>220</v>
      </c>
      <c r="B146" s="150" t="s">
        <v>126</v>
      </c>
      <c r="C146" s="150" t="s">
        <v>221</v>
      </c>
      <c r="D146" s="150" t="s">
        <v>224</v>
      </c>
      <c r="E146" s="393" t="s">
        <v>222</v>
      </c>
      <c r="F146" s="395"/>
      <c r="G146" s="395"/>
      <c r="H146" s="395"/>
      <c r="I146" s="395"/>
      <c r="J146" s="395"/>
      <c r="K146" s="395"/>
      <c r="L146" s="395"/>
      <c r="M146" s="395"/>
      <c r="N146" s="395"/>
      <c r="O146" s="395"/>
      <c r="P146" s="395"/>
      <c r="Q146" s="394"/>
      <c r="R146" s="393" t="s">
        <v>223</v>
      </c>
      <c r="S146" s="394"/>
    </row>
    <row r="147" spans="1:24" outlineLevel="1" x14ac:dyDescent="0.2">
      <c r="A147" s="151"/>
      <c r="B147" s="151"/>
      <c r="C147" s="151"/>
      <c r="D147" s="151"/>
      <c r="E147" s="390"/>
      <c r="F147" s="391"/>
      <c r="G147" s="391"/>
      <c r="H147" s="391"/>
      <c r="I147" s="391"/>
      <c r="J147" s="391"/>
      <c r="K147" s="391"/>
      <c r="L147" s="391"/>
      <c r="M147" s="391"/>
      <c r="N147" s="391"/>
      <c r="O147" s="391"/>
      <c r="P147" s="391"/>
      <c r="Q147" s="392"/>
      <c r="R147" s="382"/>
      <c r="S147" s="383"/>
    </row>
    <row r="148" spans="1:24" outlineLevel="1" x14ac:dyDescent="0.2">
      <c r="A148" s="151"/>
      <c r="B148" s="151"/>
      <c r="C148" s="151"/>
      <c r="D148" s="151"/>
      <c r="E148" s="152"/>
      <c r="F148" s="153"/>
      <c r="G148" s="153"/>
      <c r="H148" s="153"/>
      <c r="I148" s="153"/>
      <c r="J148" s="153"/>
      <c r="K148" s="153"/>
      <c r="L148" s="153"/>
      <c r="M148" s="153"/>
      <c r="N148" s="153"/>
      <c r="O148" s="153"/>
      <c r="P148" s="153"/>
      <c r="Q148" s="154"/>
      <c r="R148" s="382"/>
      <c r="S148" s="383"/>
    </row>
    <row r="149" spans="1:24" outlineLevel="1" x14ac:dyDescent="0.2">
      <c r="A149" s="151"/>
      <c r="B149" s="151"/>
      <c r="C149" s="151"/>
      <c r="D149" s="151"/>
      <c r="E149" s="152"/>
      <c r="F149" s="153"/>
      <c r="G149" s="153"/>
      <c r="H149" s="153"/>
      <c r="I149" s="153"/>
      <c r="J149" s="153"/>
      <c r="K149" s="153"/>
      <c r="L149" s="153"/>
      <c r="M149" s="153"/>
      <c r="N149" s="153"/>
      <c r="O149" s="153"/>
      <c r="P149" s="153"/>
      <c r="Q149" s="154"/>
      <c r="R149" s="382"/>
      <c r="S149" s="383"/>
    </row>
    <row r="150" spans="1:24" outlineLevel="1" x14ac:dyDescent="0.2">
      <c r="A150" s="151"/>
      <c r="B150" s="151"/>
      <c r="C150" s="151"/>
      <c r="D150" s="151"/>
      <c r="E150" s="152"/>
      <c r="F150" s="153"/>
      <c r="G150" s="153"/>
      <c r="H150" s="153"/>
      <c r="I150" s="153"/>
      <c r="J150" s="153"/>
      <c r="K150" s="153"/>
      <c r="L150" s="153"/>
      <c r="M150" s="153"/>
      <c r="N150" s="153"/>
      <c r="O150" s="153"/>
      <c r="P150" s="153"/>
      <c r="Q150" s="154"/>
      <c r="R150" s="382"/>
      <c r="S150" s="383"/>
    </row>
    <row r="151" spans="1:24" outlineLevel="1" x14ac:dyDescent="0.2">
      <c r="A151" s="151"/>
      <c r="B151" s="151"/>
      <c r="C151" s="151"/>
      <c r="D151" s="151"/>
      <c r="E151" s="152"/>
      <c r="F151" s="153"/>
      <c r="G151" s="153"/>
      <c r="H151" s="153"/>
      <c r="I151" s="153"/>
      <c r="J151" s="153"/>
      <c r="K151" s="153"/>
      <c r="L151" s="153"/>
      <c r="M151" s="153"/>
      <c r="N151" s="153"/>
      <c r="O151" s="153"/>
      <c r="P151" s="153"/>
      <c r="Q151" s="154"/>
      <c r="R151" s="382"/>
      <c r="S151" s="383"/>
    </row>
    <row r="152" spans="1:24" outlineLevel="1" x14ac:dyDescent="0.2">
      <c r="A152" s="151"/>
      <c r="B152" s="151"/>
      <c r="C152" s="151"/>
      <c r="D152" s="151"/>
      <c r="E152" s="152"/>
      <c r="F152" s="153"/>
      <c r="G152" s="153"/>
      <c r="H152" s="153"/>
      <c r="I152" s="153"/>
      <c r="J152" s="153"/>
      <c r="K152" s="153"/>
      <c r="L152" s="153"/>
      <c r="M152" s="153"/>
      <c r="N152" s="153"/>
      <c r="O152" s="153"/>
      <c r="P152" s="153"/>
      <c r="Q152" s="154"/>
      <c r="R152" s="382"/>
      <c r="S152" s="383"/>
    </row>
    <row r="153" spans="1:24" outlineLevel="1" x14ac:dyDescent="0.2">
      <c r="A153" s="151"/>
      <c r="B153" s="151"/>
      <c r="C153" s="151"/>
      <c r="D153" s="151"/>
      <c r="E153" s="152"/>
      <c r="F153" s="153"/>
      <c r="G153" s="153"/>
      <c r="H153" s="153"/>
      <c r="I153" s="153"/>
      <c r="J153" s="153"/>
      <c r="K153" s="153"/>
      <c r="L153" s="153"/>
      <c r="M153" s="153"/>
      <c r="N153" s="153"/>
      <c r="O153" s="153"/>
      <c r="P153" s="153"/>
      <c r="Q153" s="154"/>
      <c r="R153" s="382"/>
      <c r="S153" s="383"/>
    </row>
    <row r="154" spans="1:24" outlineLevel="1" x14ac:dyDescent="0.2">
      <c r="A154" s="151"/>
      <c r="B154" s="151"/>
      <c r="C154" s="151"/>
      <c r="D154" s="151"/>
      <c r="E154" s="390"/>
      <c r="F154" s="391"/>
      <c r="G154" s="391"/>
      <c r="H154" s="391"/>
      <c r="I154" s="391"/>
      <c r="J154" s="391"/>
      <c r="K154" s="391"/>
      <c r="L154" s="391"/>
      <c r="M154" s="391"/>
      <c r="N154" s="391"/>
      <c r="O154" s="391"/>
      <c r="P154" s="391"/>
      <c r="Q154" s="392"/>
      <c r="R154" s="382"/>
      <c r="S154" s="383"/>
    </row>
    <row r="155" spans="1:24" outlineLevel="1" x14ac:dyDescent="0.2">
      <c r="A155" s="151"/>
      <c r="B155" s="151"/>
      <c r="C155" s="151"/>
      <c r="D155" s="151"/>
      <c r="E155" s="390"/>
      <c r="F155" s="391"/>
      <c r="G155" s="391"/>
      <c r="H155" s="391"/>
      <c r="I155" s="391"/>
      <c r="J155" s="391"/>
      <c r="K155" s="391"/>
      <c r="L155" s="391"/>
      <c r="M155" s="391"/>
      <c r="N155" s="391"/>
      <c r="O155" s="391"/>
      <c r="P155" s="391"/>
      <c r="Q155" s="392"/>
      <c r="R155" s="382"/>
      <c r="S155" s="383"/>
    </row>
    <row r="157" spans="1:24" ht="15.75" x14ac:dyDescent="0.2">
      <c r="A157" s="388" t="s">
        <v>225</v>
      </c>
      <c r="B157" s="388"/>
      <c r="C157" s="388"/>
      <c r="D157" s="388"/>
      <c r="E157" s="388"/>
      <c r="F157" s="388"/>
      <c r="G157" s="388"/>
      <c r="H157" s="388"/>
      <c r="I157" s="388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</row>
    <row r="158" spans="1:24" x14ac:dyDescent="0.2">
      <c r="A158" s="433" t="s">
        <v>132</v>
      </c>
      <c r="B158" s="435"/>
      <c r="C158" s="433" t="s">
        <v>4</v>
      </c>
      <c r="D158" s="435"/>
      <c r="E158" s="433" t="s">
        <v>131</v>
      </c>
      <c r="F158" s="434"/>
      <c r="G158" s="434"/>
      <c r="H158" s="434"/>
      <c r="I158" s="434"/>
      <c r="J158" s="434"/>
      <c r="K158" s="434"/>
      <c r="L158" s="434"/>
      <c r="M158" s="434"/>
      <c r="N158" s="434"/>
      <c r="O158" s="434"/>
      <c r="P158" s="434"/>
      <c r="Q158" s="435"/>
      <c r="R158" s="440" t="s">
        <v>130</v>
      </c>
      <c r="S158" s="440"/>
      <c r="T158" s="437" t="s">
        <v>129</v>
      </c>
      <c r="U158" s="439"/>
      <c r="V158" s="437" t="s">
        <v>128</v>
      </c>
      <c r="W158" s="438"/>
      <c r="X158" s="439"/>
    </row>
    <row r="159" spans="1:24" x14ac:dyDescent="0.2">
      <c r="A159" s="382" t="s">
        <v>213</v>
      </c>
      <c r="B159" s="383"/>
      <c r="C159" s="382"/>
      <c r="D159" s="383"/>
      <c r="E159" s="382" t="s">
        <v>214</v>
      </c>
      <c r="F159" s="387"/>
      <c r="G159" s="387"/>
      <c r="H159" s="387"/>
      <c r="I159" s="387"/>
      <c r="J159" s="387"/>
      <c r="K159" s="387"/>
      <c r="L159" s="387"/>
      <c r="M159" s="387"/>
      <c r="N159" s="387"/>
      <c r="O159" s="387"/>
      <c r="P159" s="387"/>
      <c r="Q159" s="383"/>
      <c r="R159" s="382"/>
      <c r="S159" s="383"/>
      <c r="T159" s="382"/>
      <c r="U159" s="383"/>
      <c r="V159" s="382"/>
      <c r="W159" s="387"/>
      <c r="X159" s="383"/>
    </row>
    <row r="160" spans="1:24" x14ac:dyDescent="0.2">
      <c r="A160" s="382" t="s">
        <v>213</v>
      </c>
      <c r="B160" s="383"/>
      <c r="C160" s="382"/>
      <c r="D160" s="383"/>
      <c r="E160" s="382" t="s">
        <v>215</v>
      </c>
      <c r="F160" s="387"/>
      <c r="G160" s="387"/>
      <c r="H160" s="387"/>
      <c r="I160" s="387"/>
      <c r="J160" s="387"/>
      <c r="K160" s="387"/>
      <c r="L160" s="387"/>
      <c r="M160" s="387"/>
      <c r="N160" s="387"/>
      <c r="O160" s="387"/>
      <c r="P160" s="387"/>
      <c r="Q160" s="383"/>
      <c r="R160" s="382"/>
      <c r="S160" s="383"/>
      <c r="T160" s="382"/>
      <c r="U160" s="383"/>
      <c r="V160" s="382"/>
      <c r="W160" s="387"/>
      <c r="X160" s="383"/>
    </row>
    <row r="161" spans="1:24" x14ac:dyDescent="0.2">
      <c r="A161" s="382" t="s">
        <v>216</v>
      </c>
      <c r="B161" s="383"/>
      <c r="C161" s="382"/>
      <c r="D161" s="383"/>
      <c r="E161" s="382" t="s">
        <v>217</v>
      </c>
      <c r="F161" s="387"/>
      <c r="G161" s="387"/>
      <c r="H161" s="387"/>
      <c r="I161" s="387"/>
      <c r="J161" s="387"/>
      <c r="K161" s="387"/>
      <c r="L161" s="387"/>
      <c r="M161" s="387"/>
      <c r="N161" s="387"/>
      <c r="O161" s="387"/>
      <c r="P161" s="387"/>
      <c r="Q161" s="383"/>
      <c r="R161" s="382"/>
      <c r="S161" s="383"/>
      <c r="T161" s="382"/>
      <c r="U161" s="383"/>
      <c r="V161" s="382"/>
      <c r="W161" s="387"/>
      <c r="X161" s="383"/>
    </row>
    <row r="162" spans="1:24" x14ac:dyDescent="0.2">
      <c r="A162" s="382" t="s">
        <v>216</v>
      </c>
      <c r="B162" s="383"/>
      <c r="C162" s="382"/>
      <c r="D162" s="383"/>
      <c r="E162" s="382" t="s">
        <v>218</v>
      </c>
      <c r="F162" s="387"/>
      <c r="G162" s="387"/>
      <c r="H162" s="387"/>
      <c r="I162" s="387"/>
      <c r="J162" s="387"/>
      <c r="K162" s="387"/>
      <c r="L162" s="387"/>
      <c r="M162" s="387"/>
      <c r="N162" s="387"/>
      <c r="O162" s="387"/>
      <c r="P162" s="387"/>
      <c r="Q162" s="383"/>
      <c r="R162" s="382"/>
      <c r="S162" s="383"/>
      <c r="T162" s="382"/>
      <c r="U162" s="383"/>
      <c r="V162" s="382"/>
      <c r="W162" s="387"/>
      <c r="X162" s="383"/>
    </row>
    <row r="163" spans="1:24" x14ac:dyDescent="0.2">
      <c r="A163" s="380"/>
      <c r="B163" s="380"/>
      <c r="C163" s="380"/>
      <c r="D163" s="380"/>
      <c r="E163" s="380"/>
      <c r="F163" s="380"/>
      <c r="G163" s="380"/>
      <c r="H163" s="380"/>
      <c r="I163" s="380"/>
      <c r="J163" s="380"/>
      <c r="K163" s="380"/>
      <c r="L163" s="380"/>
      <c r="M163" s="380"/>
      <c r="N163" s="380"/>
      <c r="O163" s="380"/>
      <c r="P163" s="380"/>
      <c r="Q163" s="380"/>
      <c r="R163" s="380"/>
      <c r="S163" s="380"/>
      <c r="T163" s="382"/>
      <c r="U163" s="383"/>
      <c r="V163" s="382"/>
      <c r="W163" s="387"/>
      <c r="X163" s="383"/>
    </row>
    <row r="164" spans="1:24" x14ac:dyDescent="0.2">
      <c r="A164" s="380"/>
      <c r="B164" s="380"/>
      <c r="C164" s="380"/>
      <c r="D164" s="380"/>
      <c r="E164" s="380"/>
      <c r="F164" s="380"/>
      <c r="G164" s="380"/>
      <c r="H164" s="380"/>
      <c r="I164" s="380"/>
      <c r="J164" s="380"/>
      <c r="K164" s="380"/>
      <c r="L164" s="380"/>
      <c r="M164" s="380"/>
      <c r="N164" s="380"/>
      <c r="O164" s="380"/>
      <c r="P164" s="380"/>
      <c r="Q164" s="380"/>
      <c r="R164" s="380"/>
      <c r="S164" s="380"/>
      <c r="T164" s="382"/>
      <c r="U164" s="383"/>
      <c r="V164" s="382"/>
      <c r="W164" s="387"/>
      <c r="X164" s="383"/>
    </row>
    <row r="165" spans="1:24" x14ac:dyDescent="0.2">
      <c r="A165" s="380"/>
      <c r="B165" s="380"/>
      <c r="C165" s="380"/>
      <c r="D165" s="380"/>
      <c r="E165" s="380"/>
      <c r="F165" s="380"/>
      <c r="G165" s="380"/>
      <c r="H165" s="380"/>
      <c r="I165" s="380"/>
      <c r="J165" s="380"/>
      <c r="K165" s="380"/>
      <c r="L165" s="380"/>
      <c r="M165" s="380"/>
      <c r="N165" s="380"/>
      <c r="O165" s="380"/>
      <c r="P165" s="380"/>
      <c r="Q165" s="380"/>
      <c r="R165" s="380"/>
      <c r="S165" s="380"/>
      <c r="T165" s="382"/>
      <c r="U165" s="383"/>
      <c r="V165" s="382"/>
      <c r="W165" s="387"/>
      <c r="X165" s="383"/>
    </row>
    <row r="166" spans="1:24" x14ac:dyDescent="0.2">
      <c r="A166" s="380"/>
      <c r="B166" s="380"/>
      <c r="C166" s="380"/>
      <c r="D166" s="380"/>
      <c r="E166" s="380"/>
      <c r="F166" s="380"/>
      <c r="G166" s="380"/>
      <c r="H166" s="380"/>
      <c r="I166" s="380"/>
      <c r="J166" s="380"/>
      <c r="K166" s="380"/>
      <c r="L166" s="380"/>
      <c r="M166" s="380"/>
      <c r="N166" s="380"/>
      <c r="O166" s="380"/>
      <c r="P166" s="380"/>
      <c r="Q166" s="380"/>
      <c r="R166" s="380"/>
      <c r="S166" s="380"/>
      <c r="T166" s="382"/>
      <c r="U166" s="383"/>
      <c r="V166" s="382"/>
      <c r="W166" s="387"/>
      <c r="X166" s="383"/>
    </row>
    <row r="167" spans="1:24" x14ac:dyDescent="0.2">
      <c r="A167" s="380"/>
      <c r="B167" s="380"/>
      <c r="C167" s="380"/>
      <c r="D167" s="380"/>
      <c r="E167" s="380"/>
      <c r="F167" s="380"/>
      <c r="G167" s="380"/>
      <c r="H167" s="380"/>
      <c r="I167" s="380"/>
      <c r="J167" s="380"/>
      <c r="K167" s="380"/>
      <c r="L167" s="380"/>
      <c r="M167" s="380"/>
      <c r="N167" s="380"/>
      <c r="O167" s="380"/>
      <c r="P167" s="380"/>
      <c r="Q167" s="380"/>
      <c r="R167" s="380"/>
      <c r="S167" s="380"/>
      <c r="T167" s="382"/>
      <c r="U167" s="383"/>
      <c r="V167" s="382"/>
      <c r="W167" s="387"/>
      <c r="X167" s="383"/>
    </row>
    <row r="168" spans="1:24" x14ac:dyDescent="0.2">
      <c r="A168" s="380"/>
      <c r="B168" s="380"/>
      <c r="C168" s="380"/>
      <c r="D168" s="380"/>
      <c r="E168" s="380"/>
      <c r="F168" s="380"/>
      <c r="G168" s="380"/>
      <c r="H168" s="380"/>
      <c r="I168" s="380"/>
      <c r="J168" s="380"/>
      <c r="K168" s="380"/>
      <c r="L168" s="380"/>
      <c r="M168" s="380"/>
      <c r="N168" s="380"/>
      <c r="O168" s="380"/>
      <c r="P168" s="380"/>
      <c r="Q168" s="380"/>
      <c r="R168" s="380"/>
      <c r="S168" s="380"/>
      <c r="T168" s="382"/>
      <c r="U168" s="383"/>
      <c r="V168" s="382"/>
      <c r="W168" s="387"/>
      <c r="X168" s="383"/>
    </row>
    <row r="169" spans="1:24" x14ac:dyDescent="0.2">
      <c r="A169" s="380"/>
      <c r="B169" s="380"/>
      <c r="C169" s="380"/>
      <c r="D169" s="380"/>
      <c r="E169" s="380"/>
      <c r="F169" s="380"/>
      <c r="G169" s="380"/>
      <c r="H169" s="380"/>
      <c r="I169" s="380"/>
      <c r="J169" s="380"/>
      <c r="K169" s="380"/>
      <c r="L169" s="380"/>
      <c r="M169" s="380"/>
      <c r="N169" s="380"/>
      <c r="O169" s="380"/>
      <c r="P169" s="380"/>
      <c r="Q169" s="380"/>
      <c r="R169" s="380"/>
      <c r="S169" s="380"/>
      <c r="T169" s="382"/>
      <c r="U169" s="383"/>
      <c r="V169" s="382"/>
      <c r="W169" s="387"/>
      <c r="X169" s="383"/>
    </row>
    <row r="170" spans="1:24" x14ac:dyDescent="0.2">
      <c r="A170" s="380"/>
      <c r="B170" s="380"/>
      <c r="C170" s="380"/>
      <c r="D170" s="380"/>
      <c r="E170" s="380"/>
      <c r="F170" s="380"/>
      <c r="G170" s="380"/>
      <c r="H170" s="380"/>
      <c r="I170" s="380"/>
      <c r="J170" s="380"/>
      <c r="K170" s="380"/>
      <c r="L170" s="380"/>
      <c r="M170" s="380"/>
      <c r="N170" s="380"/>
      <c r="O170" s="380"/>
      <c r="P170" s="380"/>
      <c r="Q170" s="380"/>
      <c r="R170" s="380"/>
      <c r="S170" s="380"/>
      <c r="T170" s="382"/>
      <c r="U170" s="383"/>
      <c r="V170" s="382"/>
      <c r="W170" s="387"/>
      <c r="X170" s="383"/>
    </row>
    <row r="171" spans="1:24" x14ac:dyDescent="0.2">
      <c r="A171" s="380"/>
      <c r="B171" s="380"/>
      <c r="C171" s="380"/>
      <c r="D171" s="380"/>
      <c r="E171" s="380"/>
      <c r="F171" s="380"/>
      <c r="G171" s="380"/>
      <c r="H171" s="380"/>
      <c r="I171" s="380"/>
      <c r="J171" s="380"/>
      <c r="K171" s="380"/>
      <c r="L171" s="380"/>
      <c r="M171" s="380"/>
      <c r="N171" s="380"/>
      <c r="O171" s="380"/>
      <c r="P171" s="380"/>
      <c r="Q171" s="380"/>
      <c r="R171" s="380"/>
      <c r="S171" s="380"/>
      <c r="T171" s="382"/>
      <c r="U171" s="383"/>
      <c r="V171" s="382"/>
      <c r="W171" s="387"/>
      <c r="X171" s="383"/>
    </row>
  </sheetData>
  <mergeCells count="532">
    <mergeCell ref="A157:X157"/>
    <mergeCell ref="A158:B158"/>
    <mergeCell ref="C158:D158"/>
    <mergeCell ref="E158:Q158"/>
    <mergeCell ref="R158:S158"/>
    <mergeCell ref="T158:U158"/>
    <mergeCell ref="V158:X158"/>
    <mergeCell ref="A159:B159"/>
    <mergeCell ref="C159:D159"/>
    <mergeCell ref="E159:Q159"/>
    <mergeCell ref="R159:S159"/>
    <mergeCell ref="T159:U159"/>
    <mergeCell ref="V159:X159"/>
    <mergeCell ref="A160:B160"/>
    <mergeCell ref="C160:D160"/>
    <mergeCell ref="E160:Q160"/>
    <mergeCell ref="R160:S160"/>
    <mergeCell ref="T160:U160"/>
    <mergeCell ref="V160:X160"/>
    <mergeCell ref="A161:B161"/>
    <mergeCell ref="C161:D161"/>
    <mergeCell ref="E161:Q161"/>
    <mergeCell ref="R161:S161"/>
    <mergeCell ref="T161:U161"/>
    <mergeCell ref="V161:X161"/>
    <mergeCell ref="A162:B162"/>
    <mergeCell ref="C162:D162"/>
    <mergeCell ref="E162:Q162"/>
    <mergeCell ref="R162:S162"/>
    <mergeCell ref="T162:U162"/>
    <mergeCell ref="V162:X162"/>
    <mergeCell ref="A163:B163"/>
    <mergeCell ref="C163:D163"/>
    <mergeCell ref="E163:Q163"/>
    <mergeCell ref="R163:S163"/>
    <mergeCell ref="T163:U163"/>
    <mergeCell ref="V163:X163"/>
    <mergeCell ref="R164:S164"/>
    <mergeCell ref="T164:U164"/>
    <mergeCell ref="V164:X164"/>
    <mergeCell ref="A165:B165"/>
    <mergeCell ref="C165:D165"/>
    <mergeCell ref="E165:Q165"/>
    <mergeCell ref="R165:S165"/>
    <mergeCell ref="T165:U165"/>
    <mergeCell ref="V165:X165"/>
    <mergeCell ref="A171:B171"/>
    <mergeCell ref="C171:D171"/>
    <mergeCell ref="E171:Q171"/>
    <mergeCell ref="R171:S171"/>
    <mergeCell ref="T171:U171"/>
    <mergeCell ref="V171:X171"/>
    <mergeCell ref="A168:B168"/>
    <mergeCell ref="C168:D168"/>
    <mergeCell ref="E168:Q168"/>
    <mergeCell ref="R168:S168"/>
    <mergeCell ref="T168:U168"/>
    <mergeCell ref="V168:X168"/>
    <mergeCell ref="A169:B169"/>
    <mergeCell ref="C169:D169"/>
    <mergeCell ref="E169:Q169"/>
    <mergeCell ref="R169:S169"/>
    <mergeCell ref="T169:U169"/>
    <mergeCell ref="V169:X169"/>
    <mergeCell ref="G121:I121"/>
    <mergeCell ref="J121:X121"/>
    <mergeCell ref="A119:B119"/>
    <mergeCell ref="A170:B170"/>
    <mergeCell ref="C170:D170"/>
    <mergeCell ref="E170:Q170"/>
    <mergeCell ref="R170:S170"/>
    <mergeCell ref="T170:U170"/>
    <mergeCell ref="V170:X170"/>
    <mergeCell ref="A166:B166"/>
    <mergeCell ref="C166:D166"/>
    <mergeCell ref="E166:Q166"/>
    <mergeCell ref="R166:S166"/>
    <mergeCell ref="T166:U166"/>
    <mergeCell ref="V166:X166"/>
    <mergeCell ref="A167:B167"/>
    <mergeCell ref="C167:D167"/>
    <mergeCell ref="E167:Q167"/>
    <mergeCell ref="R167:S167"/>
    <mergeCell ref="T167:U167"/>
    <mergeCell ref="V167:X167"/>
    <mergeCell ref="A164:B164"/>
    <mergeCell ref="C164:D164"/>
    <mergeCell ref="E164:Q164"/>
    <mergeCell ref="J116:X116"/>
    <mergeCell ref="G123:I123"/>
    <mergeCell ref="J128:X128"/>
    <mergeCell ref="J129:X129"/>
    <mergeCell ref="G127:I127"/>
    <mergeCell ref="G128:I128"/>
    <mergeCell ref="G129:I129"/>
    <mergeCell ref="E127:F127"/>
    <mergeCell ref="E128:F128"/>
    <mergeCell ref="E129:F129"/>
    <mergeCell ref="E117:F117"/>
    <mergeCell ref="G117:I117"/>
    <mergeCell ref="J117:X117"/>
    <mergeCell ref="J127:X127"/>
    <mergeCell ref="J122:X122"/>
    <mergeCell ref="J123:X123"/>
    <mergeCell ref="E124:F124"/>
    <mergeCell ref="E126:F126"/>
    <mergeCell ref="E119:F119"/>
    <mergeCell ref="G119:I119"/>
    <mergeCell ref="J119:X119"/>
    <mergeCell ref="E120:F120"/>
    <mergeCell ref="G120:I120"/>
    <mergeCell ref="J120:X120"/>
    <mergeCell ref="J124:X124"/>
    <mergeCell ref="R109:S109"/>
    <mergeCell ref="R110:S110"/>
    <mergeCell ref="A111:X111"/>
    <mergeCell ref="G124:I124"/>
    <mergeCell ref="G126:I126"/>
    <mergeCell ref="E122:F122"/>
    <mergeCell ref="E123:F123"/>
    <mergeCell ref="J126:X126"/>
    <mergeCell ref="E125:F125"/>
    <mergeCell ref="J113:X113"/>
    <mergeCell ref="G118:I118"/>
    <mergeCell ref="J118:X118"/>
    <mergeCell ref="V109:X109"/>
    <mergeCell ref="T109:U109"/>
    <mergeCell ref="T110:U110"/>
    <mergeCell ref="G113:I113"/>
    <mergeCell ref="G122:I122"/>
    <mergeCell ref="J125:X125"/>
    <mergeCell ref="G114:I114"/>
    <mergeCell ref="J114:X114"/>
    <mergeCell ref="G115:I115"/>
    <mergeCell ref="J115:X115"/>
    <mergeCell ref="G116:I116"/>
    <mergeCell ref="E115:F115"/>
    <mergeCell ref="A116:B116"/>
    <mergeCell ref="C116:D116"/>
    <mergeCell ref="E116:F116"/>
    <mergeCell ref="A118:B118"/>
    <mergeCell ref="C118:D118"/>
    <mergeCell ref="C122:D122"/>
    <mergeCell ref="C123:D123"/>
    <mergeCell ref="A113:B113"/>
    <mergeCell ref="A122:B122"/>
    <mergeCell ref="A123:B123"/>
    <mergeCell ref="A114:B114"/>
    <mergeCell ref="C114:D114"/>
    <mergeCell ref="E114:F114"/>
    <mergeCell ref="A115:B115"/>
    <mergeCell ref="C115:D115"/>
    <mergeCell ref="C113:D113"/>
    <mergeCell ref="E113:F113"/>
    <mergeCell ref="A117:B117"/>
    <mergeCell ref="C117:D117"/>
    <mergeCell ref="C119:D119"/>
    <mergeCell ref="A120:B120"/>
    <mergeCell ref="C120:D120"/>
    <mergeCell ref="A121:B121"/>
    <mergeCell ref="E118:F118"/>
    <mergeCell ref="A128:B128"/>
    <mergeCell ref="A129:B129"/>
    <mergeCell ref="C124:D124"/>
    <mergeCell ref="C126:D126"/>
    <mergeCell ref="C127:D127"/>
    <mergeCell ref="A126:B126"/>
    <mergeCell ref="A127:B127"/>
    <mergeCell ref="C128:D128"/>
    <mergeCell ref="C129:D129"/>
    <mergeCell ref="A124:B124"/>
    <mergeCell ref="C121:D121"/>
    <mergeCell ref="E121:F121"/>
    <mergeCell ref="A96:X96"/>
    <mergeCell ref="A112:X112"/>
    <mergeCell ref="V110:X110"/>
    <mergeCell ref="C98:D98"/>
    <mergeCell ref="C99:D99"/>
    <mergeCell ref="C100:D100"/>
    <mergeCell ref="C101:D101"/>
    <mergeCell ref="C102:D102"/>
    <mergeCell ref="C103:D103"/>
    <mergeCell ref="V103:X103"/>
    <mergeCell ref="T103:U103"/>
    <mergeCell ref="T104:U104"/>
    <mergeCell ref="C107:D107"/>
    <mergeCell ref="C108:D108"/>
    <mergeCell ref="C109:D109"/>
    <mergeCell ref="C104:D104"/>
    <mergeCell ref="C105:D105"/>
    <mergeCell ref="C106:D106"/>
    <mergeCell ref="V104:X104"/>
    <mergeCell ref="T108:U108"/>
    <mergeCell ref="T107:U107"/>
    <mergeCell ref="T106:U106"/>
    <mergeCell ref="T105:U105"/>
    <mergeCell ref="V105:X105"/>
    <mergeCell ref="V106:X106"/>
    <mergeCell ref="V107:X107"/>
    <mergeCell ref="V108:X108"/>
    <mergeCell ref="T97:U97"/>
    <mergeCell ref="T98:U98"/>
    <mergeCell ref="T99:U99"/>
    <mergeCell ref="T100:U100"/>
    <mergeCell ref="T101:U101"/>
    <mergeCell ref="T102:U102"/>
    <mergeCell ref="R99:S99"/>
    <mergeCell ref="R100:S100"/>
    <mergeCell ref="R101:S101"/>
    <mergeCell ref="R102:S102"/>
    <mergeCell ref="R103:S103"/>
    <mergeCell ref="R104:S104"/>
    <mergeCell ref="V97:X97"/>
    <mergeCell ref="V98:X98"/>
    <mergeCell ref="V99:X99"/>
    <mergeCell ref="V100:X100"/>
    <mergeCell ref="V101:X101"/>
    <mergeCell ref="V102:X102"/>
    <mergeCell ref="R97:S97"/>
    <mergeCell ref="E97:Q97"/>
    <mergeCell ref="E98:Q98"/>
    <mergeCell ref="E99:Q99"/>
    <mergeCell ref="E100:Q100"/>
    <mergeCell ref="R108:S108"/>
    <mergeCell ref="E108:Q108"/>
    <mergeCell ref="A95:S95"/>
    <mergeCell ref="A109:B109"/>
    <mergeCell ref="A97:B97"/>
    <mergeCell ref="A98:B98"/>
    <mergeCell ref="A99:B99"/>
    <mergeCell ref="C97:D97"/>
    <mergeCell ref="A100:B100"/>
    <mergeCell ref="E102:Q102"/>
    <mergeCell ref="E103:Q103"/>
    <mergeCell ref="E104:Q104"/>
    <mergeCell ref="R105:S105"/>
    <mergeCell ref="R106:S106"/>
    <mergeCell ref="R107:S107"/>
    <mergeCell ref="E107:Q107"/>
    <mergeCell ref="A107:B107"/>
    <mergeCell ref="A108:B108"/>
    <mergeCell ref="R98:S98"/>
    <mergeCell ref="E101:Q101"/>
    <mergeCell ref="A106:B106"/>
    <mergeCell ref="E109:Q109"/>
    <mergeCell ref="E110:Q110"/>
    <mergeCell ref="E105:Q105"/>
    <mergeCell ref="E106:Q106"/>
    <mergeCell ref="A101:B101"/>
    <mergeCell ref="A102:B102"/>
    <mergeCell ref="A103:B103"/>
    <mergeCell ref="A104:B104"/>
    <mergeCell ref="A105:B105"/>
    <mergeCell ref="A110:B110"/>
    <mergeCell ref="C110:D110"/>
    <mergeCell ref="D1:E1"/>
    <mergeCell ref="F1:G1"/>
    <mergeCell ref="A43:N43"/>
    <mergeCell ref="D38:F38"/>
    <mergeCell ref="D39:F39"/>
    <mergeCell ref="D41:F41"/>
    <mergeCell ref="D33:F33"/>
    <mergeCell ref="D34:F34"/>
    <mergeCell ref="D35:F35"/>
    <mergeCell ref="A10:C10"/>
    <mergeCell ref="A19:C19"/>
    <mergeCell ref="A20:C20"/>
    <mergeCell ref="A33:C33"/>
    <mergeCell ref="A34:C34"/>
    <mergeCell ref="A35:C35"/>
    <mergeCell ref="A22:C22"/>
    <mergeCell ref="A21:C21"/>
    <mergeCell ref="A12:B15"/>
    <mergeCell ref="A42:N42"/>
    <mergeCell ref="D12:J12"/>
    <mergeCell ref="D13:J13"/>
    <mergeCell ref="D14:J14"/>
    <mergeCell ref="D15:J15"/>
    <mergeCell ref="D16:J16"/>
    <mergeCell ref="A41:C41"/>
    <mergeCell ref="A39:C39"/>
    <mergeCell ref="A11:C11"/>
    <mergeCell ref="D36:F36"/>
    <mergeCell ref="D37:F37"/>
    <mergeCell ref="A36:C36"/>
    <mergeCell ref="A37:C37"/>
    <mergeCell ref="A38:C38"/>
    <mergeCell ref="A16:C16"/>
    <mergeCell ref="A24:J24"/>
    <mergeCell ref="A25:J25"/>
    <mergeCell ref="A26:J26"/>
    <mergeCell ref="A27:J27"/>
    <mergeCell ref="A28:J28"/>
    <mergeCell ref="A29:J29"/>
    <mergeCell ref="A30:J30"/>
    <mergeCell ref="D4:J4"/>
    <mergeCell ref="D5:J5"/>
    <mergeCell ref="D6:J6"/>
    <mergeCell ref="D7:J7"/>
    <mergeCell ref="D8:J8"/>
    <mergeCell ref="D9:J9"/>
    <mergeCell ref="D10:J10"/>
    <mergeCell ref="D11:J11"/>
    <mergeCell ref="A4:C4"/>
    <mergeCell ref="A5:C5"/>
    <mergeCell ref="A6:C6"/>
    <mergeCell ref="A7:C7"/>
    <mergeCell ref="A8:C8"/>
    <mergeCell ref="A9:C9"/>
    <mergeCell ref="A93:A94"/>
    <mergeCell ref="B93:N93"/>
    <mergeCell ref="B94:N94"/>
    <mergeCell ref="O70:Q70"/>
    <mergeCell ref="O71:Q71"/>
    <mergeCell ref="O83:Q83"/>
    <mergeCell ref="O84:Q84"/>
    <mergeCell ref="O85:Q85"/>
    <mergeCell ref="O54:Q54"/>
    <mergeCell ref="B85:N85"/>
    <mergeCell ref="B66:N66"/>
    <mergeCell ref="B70:N70"/>
    <mergeCell ref="B71:N71"/>
    <mergeCell ref="B69:N69"/>
    <mergeCell ref="O67:Q67"/>
    <mergeCell ref="B67:N67"/>
    <mergeCell ref="B75:N75"/>
    <mergeCell ref="B55:N55"/>
    <mergeCell ref="B58:N58"/>
    <mergeCell ref="B59:N59"/>
    <mergeCell ref="B72:N72"/>
    <mergeCell ref="B62:N62"/>
    <mergeCell ref="B68:N68"/>
    <mergeCell ref="A54:N54"/>
    <mergeCell ref="A3:J3"/>
    <mergeCell ref="D19:J19"/>
    <mergeCell ref="D20:J20"/>
    <mergeCell ref="D21:J21"/>
    <mergeCell ref="D22:J22"/>
    <mergeCell ref="A18:J18"/>
    <mergeCell ref="B89:N89"/>
    <mergeCell ref="O88:Q88"/>
    <mergeCell ref="O89:Q89"/>
    <mergeCell ref="O87:Q87"/>
    <mergeCell ref="B78:N78"/>
    <mergeCell ref="B79:N79"/>
    <mergeCell ref="B80:N80"/>
    <mergeCell ref="B81:N81"/>
    <mergeCell ref="B82:N82"/>
    <mergeCell ref="B87:N87"/>
    <mergeCell ref="B84:N84"/>
    <mergeCell ref="A55:A60"/>
    <mergeCell ref="A61:A74"/>
    <mergeCell ref="G36:J36"/>
    <mergeCell ref="G37:J37"/>
    <mergeCell ref="G38:J38"/>
    <mergeCell ref="A53:S53"/>
    <mergeCell ref="G39:J39"/>
    <mergeCell ref="R92:S92"/>
    <mergeCell ref="A32:J32"/>
    <mergeCell ref="G33:J33"/>
    <mergeCell ref="A75:A79"/>
    <mergeCell ref="A87:A92"/>
    <mergeCell ref="B56:N56"/>
    <mergeCell ref="A80:A86"/>
    <mergeCell ref="B86:N86"/>
    <mergeCell ref="R60:S60"/>
    <mergeCell ref="R61:S61"/>
    <mergeCell ref="O90:Q90"/>
    <mergeCell ref="O91:Q91"/>
    <mergeCell ref="O92:Q92"/>
    <mergeCell ref="B90:N90"/>
    <mergeCell ref="B91:N91"/>
    <mergeCell ref="B92:N92"/>
    <mergeCell ref="G41:J41"/>
    <mergeCell ref="B76:N76"/>
    <mergeCell ref="B83:N83"/>
    <mergeCell ref="B73:N73"/>
    <mergeCell ref="B74:N74"/>
    <mergeCell ref="B88:N88"/>
    <mergeCell ref="G34:J34"/>
    <mergeCell ref="G35:J35"/>
    <mergeCell ref="R91:S91"/>
    <mergeCell ref="R84:S84"/>
    <mergeCell ref="R85:S85"/>
    <mergeCell ref="R87:S87"/>
    <mergeCell ref="R88:S88"/>
    <mergeCell ref="R89:S89"/>
    <mergeCell ref="R63:S63"/>
    <mergeCell ref="R64:S64"/>
    <mergeCell ref="R65:S65"/>
    <mergeCell ref="R66:S66"/>
    <mergeCell ref="R67:S67"/>
    <mergeCell ref="R70:S70"/>
    <mergeCell ref="B61:N61"/>
    <mergeCell ref="B63:N63"/>
    <mergeCell ref="B60:N60"/>
    <mergeCell ref="B64:N64"/>
    <mergeCell ref="B57:N57"/>
    <mergeCell ref="R54:S54"/>
    <mergeCell ref="R90:S90"/>
    <mergeCell ref="A40:C40"/>
    <mergeCell ref="D40:F40"/>
    <mergeCell ref="G40:J40"/>
    <mergeCell ref="R55:S55"/>
    <mergeCell ref="O60:Q60"/>
    <mergeCell ref="O61:Q61"/>
    <mergeCell ref="O63:Q63"/>
    <mergeCell ref="O64:Q64"/>
    <mergeCell ref="R71:S71"/>
    <mergeCell ref="R83:S83"/>
    <mergeCell ref="O65:Q65"/>
    <mergeCell ref="O66:Q66"/>
    <mergeCell ref="A44:N51"/>
    <mergeCell ref="B77:N77"/>
    <mergeCell ref="O78:Q78"/>
    <mergeCell ref="O56:Q56"/>
    <mergeCell ref="B65:N65"/>
    <mergeCell ref="O79:Q79"/>
    <mergeCell ref="O80:Q80"/>
    <mergeCell ref="O81:Q81"/>
    <mergeCell ref="O82:Q82"/>
    <mergeCell ref="O86:Q86"/>
    <mergeCell ref="O93:Q93"/>
    <mergeCell ref="O57:Q57"/>
    <mergeCell ref="O58:Q58"/>
    <mergeCell ref="O59:Q59"/>
    <mergeCell ref="O62:Q62"/>
    <mergeCell ref="O68:Q68"/>
    <mergeCell ref="O69:Q69"/>
    <mergeCell ref="O72:Q72"/>
    <mergeCell ref="O73:Q73"/>
    <mergeCell ref="O74:Q74"/>
    <mergeCell ref="O94:Q94"/>
    <mergeCell ref="R56:S56"/>
    <mergeCell ref="R57:S57"/>
    <mergeCell ref="R58:S58"/>
    <mergeCell ref="R59:S59"/>
    <mergeCell ref="R94:S94"/>
    <mergeCell ref="R93:S93"/>
    <mergeCell ref="R86:S86"/>
    <mergeCell ref="R78:S78"/>
    <mergeCell ref="R79:S79"/>
    <mergeCell ref="R80:S80"/>
    <mergeCell ref="R81:S81"/>
    <mergeCell ref="R82:S82"/>
    <mergeCell ref="R75:S75"/>
    <mergeCell ref="R76:S76"/>
    <mergeCell ref="R77:S77"/>
    <mergeCell ref="R74:S74"/>
    <mergeCell ref="R73:S73"/>
    <mergeCell ref="R72:S72"/>
    <mergeCell ref="R68:S68"/>
    <mergeCell ref="R62:S62"/>
    <mergeCell ref="O75:Q75"/>
    <mergeCell ref="O76:Q76"/>
    <mergeCell ref="O77:Q77"/>
    <mergeCell ref="R147:S147"/>
    <mergeCell ref="R154:S154"/>
    <mergeCell ref="R155:S155"/>
    <mergeCell ref="E155:Q155"/>
    <mergeCell ref="E154:Q154"/>
    <mergeCell ref="E147:Q147"/>
    <mergeCell ref="R146:S146"/>
    <mergeCell ref="E146:Q146"/>
    <mergeCell ref="A145:S145"/>
    <mergeCell ref="R148:S148"/>
    <mergeCell ref="R149:S149"/>
    <mergeCell ref="R150:S150"/>
    <mergeCell ref="R151:S151"/>
    <mergeCell ref="R152:S152"/>
    <mergeCell ref="R153:S153"/>
    <mergeCell ref="A131:X131"/>
    <mergeCell ref="A132:B132"/>
    <mergeCell ref="C132:D132"/>
    <mergeCell ref="E132:F132"/>
    <mergeCell ref="G132:I132"/>
    <mergeCell ref="J132:X132"/>
    <mergeCell ref="A133:B133"/>
    <mergeCell ref="C133:D133"/>
    <mergeCell ref="E133:F133"/>
    <mergeCell ref="G133:I133"/>
    <mergeCell ref="J133:X133"/>
    <mergeCell ref="A134:B134"/>
    <mergeCell ref="C134:D134"/>
    <mergeCell ref="E134:F134"/>
    <mergeCell ref="G134:I134"/>
    <mergeCell ref="J134:X134"/>
    <mergeCell ref="A135:B135"/>
    <mergeCell ref="C135:D135"/>
    <mergeCell ref="E135:F135"/>
    <mergeCell ref="G135:I135"/>
    <mergeCell ref="J135:X135"/>
    <mergeCell ref="A136:B136"/>
    <mergeCell ref="C136:D136"/>
    <mergeCell ref="E136:F136"/>
    <mergeCell ref="G136:I136"/>
    <mergeCell ref="J136:X136"/>
    <mergeCell ref="A137:B137"/>
    <mergeCell ref="C137:D137"/>
    <mergeCell ref="E137:F137"/>
    <mergeCell ref="G137:I137"/>
    <mergeCell ref="J137:X137"/>
    <mergeCell ref="A138:B138"/>
    <mergeCell ref="C138:D138"/>
    <mergeCell ref="E138:F138"/>
    <mergeCell ref="G138:I138"/>
    <mergeCell ref="J138:X138"/>
    <mergeCell ref="A139:B139"/>
    <mergeCell ref="C139:D139"/>
    <mergeCell ref="E139:F139"/>
    <mergeCell ref="G139:I139"/>
    <mergeCell ref="J139:X139"/>
    <mergeCell ref="A140:B140"/>
    <mergeCell ref="C140:D140"/>
    <mergeCell ref="E140:F140"/>
    <mergeCell ref="G140:I140"/>
    <mergeCell ref="J140:X140"/>
    <mergeCell ref="A141:B141"/>
    <mergeCell ref="C141:D141"/>
    <mergeCell ref="E141:F141"/>
    <mergeCell ref="G141:I141"/>
    <mergeCell ref="J141:X141"/>
    <mergeCell ref="A142:B142"/>
    <mergeCell ref="C142:D142"/>
    <mergeCell ref="E142:F142"/>
    <mergeCell ref="G142:I142"/>
    <mergeCell ref="J142:X142"/>
    <mergeCell ref="A143:B143"/>
    <mergeCell ref="C143:D143"/>
    <mergeCell ref="E143:F143"/>
    <mergeCell ref="G143:I143"/>
    <mergeCell ref="J143:X14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3" workbookViewId="0">
      <selection activeCell="C33" sqref="C33"/>
    </sheetView>
  </sheetViews>
  <sheetFormatPr defaultRowHeight="12.75" x14ac:dyDescent="0.2"/>
  <cols>
    <col min="1" max="1" width="15" style="126" customWidth="1"/>
    <col min="2" max="2" width="7.42578125" style="126" customWidth="1"/>
    <col min="3" max="3" width="108.85546875" style="126" customWidth="1"/>
    <col min="4" max="16384" width="9.140625" style="126"/>
  </cols>
  <sheetData>
    <row r="1" spans="1:4" ht="15" x14ac:dyDescent="0.2">
      <c r="A1" s="125"/>
      <c r="B1" s="446"/>
      <c r="C1" s="446"/>
    </row>
    <row r="2" spans="1:4" ht="15" x14ac:dyDescent="0.2">
      <c r="A2" s="125" t="s">
        <v>76</v>
      </c>
      <c r="B2" s="446"/>
      <c r="C2" s="446"/>
    </row>
    <row r="3" spans="1:4" ht="15" x14ac:dyDescent="0.2">
      <c r="A3" s="127"/>
      <c r="B3" s="446"/>
      <c r="C3" s="446"/>
      <c r="D3" s="130" t="s">
        <v>120</v>
      </c>
    </row>
    <row r="4" spans="1:4" ht="15" x14ac:dyDescent="0.2">
      <c r="A4" s="445" t="s">
        <v>77</v>
      </c>
      <c r="B4" s="445"/>
      <c r="C4" s="445"/>
    </row>
    <row r="5" spans="1:4" ht="15" x14ac:dyDescent="0.2">
      <c r="A5" s="128" t="s">
        <v>77</v>
      </c>
      <c r="B5" s="128">
        <v>1.1000000000000001</v>
      </c>
      <c r="C5" s="128" t="s">
        <v>92</v>
      </c>
      <c r="D5" s="130" t="s">
        <v>121</v>
      </c>
    </row>
    <row r="6" spans="1:4" ht="15" x14ac:dyDescent="0.2">
      <c r="A6" s="128" t="s">
        <v>77</v>
      </c>
      <c r="B6" s="128">
        <v>1.2</v>
      </c>
      <c r="C6" s="128" t="s">
        <v>93</v>
      </c>
    </row>
    <row r="7" spans="1:4" ht="15" x14ac:dyDescent="0.2">
      <c r="A7" s="445" t="s">
        <v>78</v>
      </c>
      <c r="B7" s="445"/>
      <c r="C7" s="445"/>
    </row>
    <row r="8" spans="1:4" ht="15" x14ac:dyDescent="0.2">
      <c r="A8" s="128" t="s">
        <v>79</v>
      </c>
      <c r="B8" s="128">
        <v>2.1</v>
      </c>
      <c r="C8" s="128" t="s">
        <v>94</v>
      </c>
    </row>
    <row r="9" spans="1:4" ht="15" x14ac:dyDescent="0.2">
      <c r="A9" s="128" t="s">
        <v>80</v>
      </c>
      <c r="B9" s="128">
        <v>2.2000000000000002</v>
      </c>
      <c r="C9" s="128" t="s">
        <v>95</v>
      </c>
    </row>
    <row r="10" spans="1:4" ht="15" x14ac:dyDescent="0.2">
      <c r="A10" s="128" t="s">
        <v>81</v>
      </c>
      <c r="B10" s="128">
        <v>2.2999999999999998</v>
      </c>
      <c r="C10" s="128" t="s">
        <v>96</v>
      </c>
    </row>
    <row r="11" spans="1:4" ht="15" x14ac:dyDescent="0.2">
      <c r="A11" s="445" t="s">
        <v>82</v>
      </c>
      <c r="B11" s="445"/>
      <c r="C11" s="445"/>
    </row>
    <row r="12" spans="1:4" ht="15" x14ac:dyDescent="0.2">
      <c r="A12" s="128" t="s">
        <v>82</v>
      </c>
      <c r="B12" s="128">
        <v>3.1</v>
      </c>
      <c r="C12" s="128" t="s">
        <v>98</v>
      </c>
    </row>
    <row r="13" spans="1:4" ht="15" x14ac:dyDescent="0.2">
      <c r="A13" s="128" t="s">
        <v>82</v>
      </c>
      <c r="B13" s="128">
        <v>3.2</v>
      </c>
      <c r="C13" s="128" t="s">
        <v>97</v>
      </c>
    </row>
    <row r="14" spans="1:4" ht="15" x14ac:dyDescent="0.2">
      <c r="A14" s="128" t="s">
        <v>82</v>
      </c>
      <c r="B14" s="128">
        <v>3.3</v>
      </c>
      <c r="C14" s="128" t="s">
        <v>99</v>
      </c>
    </row>
    <row r="15" spans="1:4" ht="15" x14ac:dyDescent="0.2">
      <c r="A15" s="128" t="s">
        <v>82</v>
      </c>
      <c r="B15" s="128">
        <v>3.4</v>
      </c>
      <c r="C15" s="128" t="s">
        <v>100</v>
      </c>
    </row>
    <row r="16" spans="1:4" ht="15" x14ac:dyDescent="0.2">
      <c r="A16" s="128" t="s">
        <v>82</v>
      </c>
      <c r="B16" s="128">
        <v>3.5</v>
      </c>
      <c r="C16" s="128" t="s">
        <v>101</v>
      </c>
    </row>
    <row r="17" spans="1:3" ht="15" x14ac:dyDescent="0.2">
      <c r="A17" s="445" t="s">
        <v>83</v>
      </c>
      <c r="B17" s="445"/>
      <c r="C17" s="445"/>
    </row>
    <row r="18" spans="1:3" ht="15" x14ac:dyDescent="0.2">
      <c r="A18" s="128" t="s">
        <v>84</v>
      </c>
      <c r="B18" s="128">
        <v>4.0999999999999996</v>
      </c>
      <c r="C18" s="128" t="s">
        <v>102</v>
      </c>
    </row>
    <row r="19" spans="1:3" ht="15" x14ac:dyDescent="0.2">
      <c r="A19" s="128" t="s">
        <v>85</v>
      </c>
      <c r="B19" s="128">
        <v>4.2</v>
      </c>
      <c r="C19" s="128" t="s">
        <v>103</v>
      </c>
    </row>
    <row r="20" spans="1:3" ht="15" x14ac:dyDescent="0.2">
      <c r="A20" s="128" t="s">
        <v>85</v>
      </c>
      <c r="B20" s="128">
        <v>4.3</v>
      </c>
      <c r="C20" s="128" t="s">
        <v>104</v>
      </c>
    </row>
    <row r="21" spans="1:3" ht="15" x14ac:dyDescent="0.2">
      <c r="A21" s="128" t="s">
        <v>85</v>
      </c>
      <c r="B21" s="128">
        <v>4.4000000000000004</v>
      </c>
      <c r="C21" s="128" t="s">
        <v>105</v>
      </c>
    </row>
    <row r="22" spans="1:3" ht="15" x14ac:dyDescent="0.2">
      <c r="A22" s="445" t="s">
        <v>86</v>
      </c>
      <c r="B22" s="445"/>
      <c r="C22" s="445"/>
    </row>
    <row r="23" spans="1:3" ht="15" x14ac:dyDescent="0.2">
      <c r="A23" s="128" t="s">
        <v>87</v>
      </c>
      <c r="B23" s="128">
        <v>5.0999999999999996</v>
      </c>
      <c r="C23" s="128" t="s">
        <v>106</v>
      </c>
    </row>
    <row r="24" spans="1:3" ht="15" x14ac:dyDescent="0.2">
      <c r="A24" s="128" t="s">
        <v>88</v>
      </c>
      <c r="B24" s="128">
        <v>5.2</v>
      </c>
      <c r="C24" s="128" t="s">
        <v>107</v>
      </c>
    </row>
    <row r="25" spans="1:3" ht="15" x14ac:dyDescent="0.2">
      <c r="A25" s="445" t="s">
        <v>89</v>
      </c>
      <c r="B25" s="445"/>
      <c r="C25" s="445"/>
    </row>
    <row r="26" spans="1:3" ht="15" x14ac:dyDescent="0.2">
      <c r="A26" s="128" t="s">
        <v>89</v>
      </c>
      <c r="B26" s="128">
        <v>6.1</v>
      </c>
      <c r="C26" s="128" t="s">
        <v>108</v>
      </c>
    </row>
    <row r="27" spans="1:3" ht="15" x14ac:dyDescent="0.2">
      <c r="A27" s="128" t="s">
        <v>89</v>
      </c>
      <c r="B27" s="128">
        <v>6.2</v>
      </c>
      <c r="C27" s="128" t="s">
        <v>109</v>
      </c>
    </row>
    <row r="28" spans="1:3" ht="15" x14ac:dyDescent="0.2">
      <c r="A28" s="128" t="s">
        <v>89</v>
      </c>
      <c r="B28" s="128">
        <v>6.3</v>
      </c>
      <c r="C28" s="128" t="s">
        <v>110</v>
      </c>
    </row>
    <row r="29" spans="1:3" ht="15" x14ac:dyDescent="0.2">
      <c r="A29" s="128" t="s">
        <v>89</v>
      </c>
      <c r="B29" s="128">
        <v>6.4</v>
      </c>
      <c r="C29" s="128" t="s">
        <v>111</v>
      </c>
    </row>
    <row r="30" spans="1:3" ht="15" x14ac:dyDescent="0.2">
      <c r="A30" s="128"/>
      <c r="B30" s="128">
        <v>6.5</v>
      </c>
      <c r="C30" s="128" t="s">
        <v>112</v>
      </c>
    </row>
    <row r="31" spans="1:3" ht="15" x14ac:dyDescent="0.2">
      <c r="A31" s="445" t="s">
        <v>90</v>
      </c>
      <c r="B31" s="445"/>
      <c r="C31" s="445"/>
    </row>
    <row r="32" spans="1:3" ht="15" x14ac:dyDescent="0.2">
      <c r="A32" s="128" t="s">
        <v>90</v>
      </c>
      <c r="B32" s="128">
        <v>7.1</v>
      </c>
      <c r="C32" s="128" t="s">
        <v>113</v>
      </c>
    </row>
    <row r="33" spans="1:4" ht="15" x14ac:dyDescent="0.2">
      <c r="A33" s="128" t="s">
        <v>90</v>
      </c>
      <c r="B33" s="128">
        <v>7.2</v>
      </c>
      <c r="C33" s="128" t="s">
        <v>114</v>
      </c>
    </row>
    <row r="34" spans="1:4" ht="15" x14ac:dyDescent="0.2">
      <c r="A34" s="128" t="s">
        <v>90</v>
      </c>
      <c r="B34" s="128">
        <v>7.3</v>
      </c>
      <c r="C34" s="128" t="s">
        <v>115</v>
      </c>
    </row>
    <row r="35" spans="1:4" ht="15" x14ac:dyDescent="0.2">
      <c r="A35" s="128" t="s">
        <v>90</v>
      </c>
      <c r="B35" s="129" t="s">
        <v>119</v>
      </c>
      <c r="C35" s="128" t="s">
        <v>118</v>
      </c>
    </row>
    <row r="36" spans="1:4" ht="15" x14ac:dyDescent="0.2">
      <c r="A36" s="128" t="s">
        <v>90</v>
      </c>
      <c r="B36" s="128">
        <v>7.4</v>
      </c>
      <c r="C36" s="128" t="s">
        <v>116</v>
      </c>
    </row>
    <row r="37" spans="1:4" ht="15" x14ac:dyDescent="0.2">
      <c r="A37" s="445" t="s">
        <v>91</v>
      </c>
      <c r="B37" s="445"/>
      <c r="C37" s="445"/>
    </row>
    <row r="38" spans="1:4" ht="15" x14ac:dyDescent="0.2">
      <c r="A38" s="128" t="s">
        <v>91</v>
      </c>
      <c r="B38" s="128">
        <v>8.1</v>
      </c>
      <c r="C38" s="128" t="s">
        <v>122</v>
      </c>
      <c r="D38" s="130" t="s">
        <v>123</v>
      </c>
    </row>
    <row r="39" spans="1:4" ht="15" x14ac:dyDescent="0.2">
      <c r="A39" s="128" t="s">
        <v>91</v>
      </c>
      <c r="B39" s="128">
        <v>8.1999999999999993</v>
      </c>
      <c r="C39" s="128" t="s">
        <v>117</v>
      </c>
    </row>
  </sheetData>
  <mergeCells count="10">
    <mergeCell ref="A22:C22"/>
    <mergeCell ref="A25:C25"/>
    <mergeCell ref="A31:C31"/>
    <mergeCell ref="A37:C37"/>
    <mergeCell ref="B1:B3"/>
    <mergeCell ref="C1:C3"/>
    <mergeCell ref="A4:C4"/>
    <mergeCell ref="A7:C7"/>
    <mergeCell ref="A11:C11"/>
    <mergeCell ref="A17:C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J26" sqref="J26"/>
    </sheetView>
  </sheetViews>
  <sheetFormatPr defaultRowHeight="12.75" x14ac:dyDescent="0.2"/>
  <cols>
    <col min="1" max="1" width="18" customWidth="1"/>
    <col min="2" max="2" width="6.85546875" customWidth="1"/>
    <col min="3" max="3" width="13.42578125" customWidth="1"/>
    <col min="4" max="4" width="5.42578125" customWidth="1"/>
    <col min="5" max="5" width="18.85546875" customWidth="1"/>
  </cols>
  <sheetData>
    <row r="1" spans="1:18" x14ac:dyDescent="0.2">
      <c r="A1" t="s">
        <v>227</v>
      </c>
    </row>
    <row r="3" spans="1:18" x14ac:dyDescent="0.2">
      <c r="A3" t="s">
        <v>226</v>
      </c>
    </row>
    <row r="4" spans="1:18" x14ac:dyDescent="0.2">
      <c r="A4" t="s">
        <v>234</v>
      </c>
      <c r="C4" t="s">
        <v>73</v>
      </c>
      <c r="E4" t="s">
        <v>245</v>
      </c>
      <c r="G4" s="163" t="s">
        <v>251</v>
      </c>
    </row>
    <row r="5" spans="1:18" x14ac:dyDescent="0.2">
      <c r="A5" s="162" t="s">
        <v>235</v>
      </c>
      <c r="B5" s="162">
        <v>5</v>
      </c>
      <c r="C5" s="162" t="s">
        <v>240</v>
      </c>
      <c r="D5" s="162">
        <v>5</v>
      </c>
      <c r="E5" s="166" t="s">
        <v>240</v>
      </c>
      <c r="F5" s="163" t="s">
        <v>246</v>
      </c>
      <c r="G5">
        <v>20</v>
      </c>
      <c r="H5" s="166" t="s">
        <v>240</v>
      </c>
      <c r="L5">
        <v>5</v>
      </c>
      <c r="M5" s="160">
        <f>$L5*M$10</f>
        <v>5</v>
      </c>
      <c r="N5" s="158">
        <f>$L5*N$10</f>
        <v>10</v>
      </c>
      <c r="O5" s="159">
        <f>$L5*O$10</f>
        <v>15</v>
      </c>
      <c r="P5" s="159">
        <f>$L5*P$10</f>
        <v>20</v>
      </c>
      <c r="Q5" s="159">
        <f>$L5*Q$10</f>
        <v>25</v>
      </c>
    </row>
    <row r="6" spans="1:18" x14ac:dyDescent="0.2">
      <c r="A6" s="162" t="s">
        <v>236</v>
      </c>
      <c r="B6" s="162">
        <v>4</v>
      </c>
      <c r="C6" s="162" t="s">
        <v>241</v>
      </c>
      <c r="D6" s="162">
        <v>4</v>
      </c>
      <c r="E6" s="167" t="s">
        <v>241</v>
      </c>
      <c r="F6" s="165" t="s">
        <v>247</v>
      </c>
      <c r="G6">
        <v>19</v>
      </c>
      <c r="H6" s="166" t="s">
        <v>240</v>
      </c>
      <c r="L6">
        <v>4</v>
      </c>
      <c r="M6" s="161">
        <f t="shared" ref="M6:Q9" si="0">$L6*M$10</f>
        <v>4</v>
      </c>
      <c r="N6" s="158">
        <f t="shared" si="0"/>
        <v>8</v>
      </c>
      <c r="O6" s="158">
        <f t="shared" si="0"/>
        <v>12</v>
      </c>
      <c r="P6" s="159">
        <f t="shared" si="0"/>
        <v>16</v>
      </c>
      <c r="Q6" s="159">
        <f t="shared" si="0"/>
        <v>20</v>
      </c>
    </row>
    <row r="7" spans="1:18" x14ac:dyDescent="0.2">
      <c r="A7" s="162" t="s">
        <v>237</v>
      </c>
      <c r="B7" s="162">
        <v>3</v>
      </c>
      <c r="C7" s="162" t="s">
        <v>242</v>
      </c>
      <c r="D7" s="162">
        <v>3</v>
      </c>
      <c r="E7" s="168" t="s">
        <v>242</v>
      </c>
      <c r="F7" s="163" t="s">
        <v>248</v>
      </c>
      <c r="G7">
        <v>18</v>
      </c>
      <c r="H7" s="166" t="s">
        <v>240</v>
      </c>
      <c r="L7">
        <v>3</v>
      </c>
      <c r="M7" s="161">
        <f t="shared" si="0"/>
        <v>3</v>
      </c>
      <c r="N7" s="160">
        <f t="shared" si="0"/>
        <v>6</v>
      </c>
      <c r="O7" s="158">
        <f t="shared" si="0"/>
        <v>9</v>
      </c>
      <c r="P7" s="158">
        <f t="shared" si="0"/>
        <v>12</v>
      </c>
      <c r="Q7" s="159">
        <f t="shared" si="0"/>
        <v>15</v>
      </c>
    </row>
    <row r="8" spans="1:18" x14ac:dyDescent="0.2">
      <c r="A8" s="162" t="s">
        <v>238</v>
      </c>
      <c r="B8" s="162">
        <v>2</v>
      </c>
      <c r="C8" s="162" t="s">
        <v>243</v>
      </c>
      <c r="D8" s="162">
        <v>2</v>
      </c>
      <c r="E8" s="169" t="s">
        <v>243</v>
      </c>
      <c r="F8" s="163" t="s">
        <v>249</v>
      </c>
      <c r="G8">
        <v>17</v>
      </c>
      <c r="H8" s="166" t="s">
        <v>240</v>
      </c>
      <c r="L8">
        <v>2</v>
      </c>
      <c r="M8" s="161">
        <f t="shared" si="0"/>
        <v>2</v>
      </c>
      <c r="N8" s="161">
        <f t="shared" si="0"/>
        <v>4</v>
      </c>
      <c r="O8" s="160">
        <f t="shared" si="0"/>
        <v>6</v>
      </c>
      <c r="P8" s="158">
        <f t="shared" si="0"/>
        <v>8</v>
      </c>
      <c r="Q8" s="158">
        <f t="shared" si="0"/>
        <v>10</v>
      </c>
      <c r="R8" s="164"/>
    </row>
    <row r="9" spans="1:18" x14ac:dyDescent="0.2">
      <c r="A9" s="162" t="s">
        <v>239</v>
      </c>
      <c r="B9" s="162">
        <v>1</v>
      </c>
      <c r="C9" s="162" t="s">
        <v>244</v>
      </c>
      <c r="D9" s="162">
        <v>1</v>
      </c>
      <c r="G9">
        <v>16</v>
      </c>
      <c r="H9" s="166" t="s">
        <v>240</v>
      </c>
      <c r="L9">
        <v>1</v>
      </c>
      <c r="M9" s="161">
        <f t="shared" si="0"/>
        <v>1</v>
      </c>
      <c r="N9" s="161">
        <f t="shared" si="0"/>
        <v>2</v>
      </c>
      <c r="O9" s="161">
        <f t="shared" si="0"/>
        <v>3</v>
      </c>
      <c r="P9" s="161">
        <f t="shared" si="0"/>
        <v>4</v>
      </c>
      <c r="Q9" s="160">
        <f t="shared" si="0"/>
        <v>5</v>
      </c>
    </row>
    <row r="10" spans="1:18" x14ac:dyDescent="0.2">
      <c r="G10">
        <v>15</v>
      </c>
      <c r="H10" s="166" t="s">
        <v>240</v>
      </c>
      <c r="M10">
        <v>1</v>
      </c>
      <c r="N10">
        <v>2</v>
      </c>
      <c r="O10">
        <v>3</v>
      </c>
      <c r="P10">
        <v>4</v>
      </c>
      <c r="Q10">
        <v>5</v>
      </c>
    </row>
    <row r="11" spans="1:18" x14ac:dyDescent="0.2">
      <c r="G11">
        <v>14</v>
      </c>
      <c r="H11" s="166" t="s">
        <v>241</v>
      </c>
    </row>
    <row r="12" spans="1:18" x14ac:dyDescent="0.2">
      <c r="G12">
        <v>13</v>
      </c>
      <c r="H12" s="166" t="s">
        <v>241</v>
      </c>
    </row>
    <row r="13" spans="1:18" x14ac:dyDescent="0.2">
      <c r="G13">
        <v>12</v>
      </c>
      <c r="H13" s="166" t="s">
        <v>241</v>
      </c>
    </row>
    <row r="14" spans="1:18" x14ac:dyDescent="0.2">
      <c r="G14">
        <v>11</v>
      </c>
      <c r="H14" s="166" t="s">
        <v>241</v>
      </c>
    </row>
    <row r="15" spans="1:18" x14ac:dyDescent="0.2">
      <c r="G15">
        <v>10</v>
      </c>
      <c r="H15" s="166" t="s">
        <v>241</v>
      </c>
    </row>
    <row r="16" spans="1:18" x14ac:dyDescent="0.2">
      <c r="G16">
        <v>9</v>
      </c>
      <c r="H16" s="166" t="s">
        <v>241</v>
      </c>
    </row>
    <row r="17" spans="7:8" x14ac:dyDescent="0.2">
      <c r="G17">
        <v>8</v>
      </c>
      <c r="H17" s="166" t="s">
        <v>241</v>
      </c>
    </row>
    <row r="18" spans="7:8" x14ac:dyDescent="0.2">
      <c r="G18">
        <v>7</v>
      </c>
      <c r="H18" s="166" t="s">
        <v>242</v>
      </c>
    </row>
    <row r="19" spans="7:8" x14ac:dyDescent="0.2">
      <c r="G19">
        <v>6</v>
      </c>
      <c r="H19" s="166" t="s">
        <v>242</v>
      </c>
    </row>
    <row r="20" spans="7:8" x14ac:dyDescent="0.2">
      <c r="G20">
        <v>5</v>
      </c>
      <c r="H20" s="166" t="s">
        <v>242</v>
      </c>
    </row>
    <row r="21" spans="7:8" x14ac:dyDescent="0.2">
      <c r="G21">
        <v>4</v>
      </c>
      <c r="H21" s="166" t="s">
        <v>243</v>
      </c>
    </row>
    <row r="22" spans="7:8" x14ac:dyDescent="0.2">
      <c r="G22">
        <v>3</v>
      </c>
      <c r="H22" s="166" t="s">
        <v>243</v>
      </c>
    </row>
    <row r="23" spans="7:8" x14ac:dyDescent="0.2">
      <c r="G23">
        <v>2</v>
      </c>
      <c r="H23" s="166" t="s">
        <v>243</v>
      </c>
    </row>
    <row r="24" spans="7:8" x14ac:dyDescent="0.2">
      <c r="G24">
        <v>1</v>
      </c>
      <c r="H24" s="166" t="s">
        <v>243</v>
      </c>
    </row>
  </sheetData>
  <conditionalFormatting sqref="A5:B5">
    <cfRule type="cellIs" dxfId="41" priority="33" operator="equal">
      <formula>$C$9</formula>
    </cfRule>
    <cfRule type="cellIs" dxfId="40" priority="34" operator="equal">
      <formula>$A$9</formula>
    </cfRule>
    <cfRule type="cellIs" dxfId="39" priority="35" operator="equal">
      <formula>$C$8</formula>
    </cfRule>
    <cfRule type="cellIs" dxfId="38" priority="36" operator="equal">
      <formula>$A$8</formula>
    </cfRule>
    <cfRule type="cellIs" dxfId="37" priority="37" operator="equal">
      <formula>$C$7</formula>
    </cfRule>
    <cfRule type="cellIs" dxfId="36" priority="38" operator="equal">
      <formula>$A$7</formula>
    </cfRule>
    <cfRule type="cellIs" dxfId="35" priority="39" operator="equal">
      <formula>$C$6</formula>
    </cfRule>
    <cfRule type="cellIs" dxfId="34" priority="40" operator="equal">
      <formula>$A$6</formula>
    </cfRule>
    <cfRule type="cellIs" dxfId="33" priority="41" operator="equal">
      <formula>$C$5</formula>
    </cfRule>
    <cfRule type="cellIs" dxfId="32" priority="42" operator="equal">
      <formula>$A$5</formula>
    </cfRule>
  </conditionalFormatting>
  <conditionalFormatting sqref="A6:B9">
    <cfRule type="cellIs" dxfId="31" priority="23" operator="equal">
      <formula>$C$9</formula>
    </cfRule>
    <cfRule type="cellIs" dxfId="30" priority="24" operator="equal">
      <formula>$A$9</formula>
    </cfRule>
    <cfRule type="cellIs" dxfId="29" priority="25" operator="equal">
      <formula>$C$8</formula>
    </cfRule>
    <cfRule type="cellIs" dxfId="28" priority="26" operator="equal">
      <formula>$A$8</formula>
    </cfRule>
    <cfRule type="cellIs" dxfId="27" priority="27" operator="equal">
      <formula>$C$7</formula>
    </cfRule>
    <cfRule type="cellIs" dxfId="26" priority="28" operator="equal">
      <formula>$A$7</formula>
    </cfRule>
    <cfRule type="cellIs" dxfId="25" priority="29" operator="equal">
      <formula>$C$6</formula>
    </cfRule>
    <cfRule type="cellIs" dxfId="24" priority="30" operator="equal">
      <formula>$A$6</formula>
    </cfRule>
    <cfRule type="cellIs" dxfId="23" priority="31" operator="equal">
      <formula>$C$5</formula>
    </cfRule>
    <cfRule type="cellIs" dxfId="22" priority="32" operator="equal">
      <formula>$A$5</formula>
    </cfRule>
  </conditionalFormatting>
  <conditionalFormatting sqref="C5:D9">
    <cfRule type="cellIs" dxfId="21" priority="13" operator="equal">
      <formula>$C$9</formula>
    </cfRule>
    <cfRule type="cellIs" dxfId="20" priority="14" operator="equal">
      <formula>$A$9</formula>
    </cfRule>
    <cfRule type="cellIs" dxfId="19" priority="15" operator="equal">
      <formula>$C$8</formula>
    </cfRule>
    <cfRule type="cellIs" dxfId="18" priority="16" operator="equal">
      <formula>$A$8</formula>
    </cfRule>
    <cfRule type="cellIs" dxfId="17" priority="17" operator="equal">
      <formula>$C$7</formula>
    </cfRule>
    <cfRule type="cellIs" dxfId="16" priority="18" operator="equal">
      <formula>$A$7</formula>
    </cfRule>
    <cfRule type="cellIs" dxfId="15" priority="19" operator="equal">
      <formula>$C$6</formula>
    </cfRule>
    <cfRule type="cellIs" dxfId="14" priority="20" operator="equal">
      <formula>$A$6</formula>
    </cfRule>
    <cfRule type="cellIs" dxfId="13" priority="21" operator="equal">
      <formula>$C$5</formula>
    </cfRule>
    <cfRule type="cellIs" dxfId="12" priority="22" operator="equal">
      <formula>$A$5</formula>
    </cfRule>
  </conditionalFormatting>
  <conditionalFormatting sqref="E5:E8">
    <cfRule type="cellIs" dxfId="11" priority="12" operator="equal">
      <formula>$E$5</formula>
    </cfRule>
  </conditionalFormatting>
  <conditionalFormatting sqref="E5">
    <cfRule type="cellIs" dxfId="10" priority="9" operator="equal">
      <formula>$E$8</formula>
    </cfRule>
    <cfRule type="cellIs" dxfId="9" priority="10" operator="equal">
      <formula>$E$7</formula>
    </cfRule>
    <cfRule type="cellIs" dxfId="8" priority="11" operator="equal">
      <formula>$E$6</formula>
    </cfRule>
  </conditionalFormatting>
  <conditionalFormatting sqref="H5:H23">
    <cfRule type="cellIs" dxfId="7" priority="8" operator="equal">
      <formula>$E$5</formula>
    </cfRule>
  </conditionalFormatting>
  <conditionalFormatting sqref="H5:H23">
    <cfRule type="cellIs" dxfId="6" priority="5" operator="equal">
      <formula>$E$8</formula>
    </cfRule>
    <cfRule type="cellIs" dxfId="5" priority="6" operator="equal">
      <formula>$E$7</formula>
    </cfRule>
    <cfRule type="cellIs" dxfId="4" priority="7" operator="equal">
      <formula>$E$6</formula>
    </cfRule>
  </conditionalFormatting>
  <conditionalFormatting sqref="H24">
    <cfRule type="cellIs" dxfId="3" priority="4" operator="equal">
      <formula>$E$5</formula>
    </cfRule>
  </conditionalFormatting>
  <conditionalFormatting sqref="H24">
    <cfRule type="cellIs" dxfId="2" priority="1" operator="equal">
      <formula>$E$8</formula>
    </cfRule>
    <cfRule type="cellIs" dxfId="1" priority="2" operator="equal">
      <formula>$E$7</formula>
    </cfRule>
    <cfRule type="cellIs" dxfId="0" priority="3" operator="equal">
      <formula>$E$6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db5c79f-a05f-4940-870b-3d035b5165a5">Draft 1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247510E766244AA5AF16F45EEB25B4" ma:contentTypeVersion="" ma:contentTypeDescription="Create a new document." ma:contentTypeScope="" ma:versionID="ee8e165a82abf09ac35be6f397a9ea8b">
  <xsd:schema xmlns:xsd="http://www.w3.org/2001/XMLSchema" xmlns:xs="http://www.w3.org/2001/XMLSchema" xmlns:p="http://schemas.microsoft.com/office/2006/metadata/properties" xmlns:ns2="6db5c79f-a05f-4940-870b-3d035b5165a5" targetNamespace="http://schemas.microsoft.com/office/2006/metadata/properties" ma:root="true" ma:fieldsID="03a1eee0149a02cc887736fec3a3288d" ns2:_="">
    <xsd:import namespace="6db5c79f-a05f-4940-870b-3d035b5165a5"/>
    <xsd:element name="properties">
      <xsd:complexType>
        <xsd:sequence>
          <xsd:element name="documentManagement">
            <xsd:complexType>
              <xsd:all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b5c79f-a05f-4940-870b-3d035b5165a5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default="Draft 1" ma:description="Status of the document" ma:format="Dropdown" ma:internalName="Status">
      <xsd:simpleType>
        <xsd:restriction base="dms:Choice">
          <xsd:enumeration value="Draft 1"/>
          <xsd:enumeration value="Draft 2"/>
          <xsd:enumeration value="Fina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A33F21-E6F4-4C60-8D78-A88F47C62873}">
  <ds:schemaRefs>
    <ds:schemaRef ds:uri="6db5c79f-a05f-4940-870b-3d035b5165a5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8648B9F-7573-44C0-A800-E7CE4CC379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b5c79f-a05f-4940-870b-3d035b516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9CD1C8-0CFE-4492-8C87-E6ADB31898C3}">
  <ds:schemaRefs>
    <ds:schemaRef ds:uri="http://schemas.microsoft.com/sharepoint/v3/contenttype/forms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ScaleCrop>false</ap:ScaleCrop>
  <ap:LinksUpToDate>false</ap:LinksUpToDate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/>
</file>