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mc:AlternateContent xmlns:mc="http://schemas.openxmlformats.org/markup-compatibility/2006">
    <mc:Choice Requires="x15">
      <x15ac:absPath xmlns:x15ac="http://schemas.microsoft.com/office/spreadsheetml/2010/11/ac" url="C:\Users\a-njage\AppData\Local\Microsoft\Windows\INetCache\Content.Outlook\A6456Z6Y\"/>
    </mc:Choice>
  </mc:AlternateContent>
  <xr:revisionPtr revIDLastSave="0" documentId="13_ncr:1_{2BEF4DAC-10B9-4D64-BCC7-679962A4A43A}" xr6:coauthVersionLast="36" xr6:coauthVersionMax="36" xr10:uidLastSave="{00000000-0000-0000-0000-000000000000}"/>
  <bookViews>
    <workbookView xWindow="0" yWindow="0" windowWidth="19200" windowHeight="6384" xr2:uid="{00000000-000D-0000-FFFF-FFFF00000000}"/>
  </bookViews>
  <sheets>
    <sheet name="Table of Contents" sheetId="14" r:id="rId1"/>
    <sheet name="Tab A (Logframe)" sheetId="1" r:id="rId2"/>
    <sheet name="Tab B" sheetId="10" r:id="rId3"/>
    <sheet name="Tab C" sheetId="9" r:id="rId4"/>
    <sheet name="Tab D" sheetId="13" r:id="rId5"/>
    <sheet name="Tab E" sheetId="11" r:id="rId6"/>
    <sheet name="Tab F" sheetId="12" r:id="rId7"/>
    <sheet name="Tab G" sheetId="7" r:id="rId8"/>
    <sheet name="Tab H" sheetId="2" r:id="rId9"/>
    <sheet name="Tab I" sheetId="6" r:id="rId10"/>
    <sheet name="Tab J" sheetId="4" r:id="rId11"/>
    <sheet name="Tab K" sheetId="8" r:id="rId12"/>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34" i="10" l="1"/>
  <c r="N59" i="2" l="1"/>
  <c r="G58" i="1" s="1"/>
  <c r="K59" i="2"/>
  <c r="M59" i="2"/>
  <c r="F58" i="1" s="1"/>
  <c r="T58" i="6"/>
  <c r="R58" i="6"/>
  <c r="AA26" i="6" l="1"/>
  <c r="AA54" i="6"/>
  <c r="T15" i="6"/>
  <c r="T20" i="6"/>
  <c r="T21" i="6"/>
  <c r="T22" i="6"/>
  <c r="T23" i="6"/>
  <c r="T25" i="6"/>
  <c r="T27" i="6"/>
  <c r="T29" i="6"/>
  <c r="T30" i="6"/>
  <c r="T32" i="6"/>
  <c r="T33" i="6"/>
  <c r="T34" i="6"/>
  <c r="T35" i="6"/>
  <c r="T37" i="6"/>
  <c r="T39" i="6"/>
  <c r="T40" i="6"/>
  <c r="T41" i="6"/>
  <c r="F28" i="6"/>
  <c r="L40" i="2"/>
  <c r="BZ41" i="6" s="1"/>
  <c r="L39" i="2"/>
  <c r="CH40" i="6" s="1"/>
  <c r="L33" i="2"/>
  <c r="BM34" i="6" s="1"/>
  <c r="L34" i="2"/>
  <c r="CH35" i="6" s="1"/>
  <c r="L35" i="2"/>
  <c r="CH36" i="6" s="1"/>
  <c r="L36" i="2"/>
  <c r="F37" i="6" s="1"/>
  <c r="L37" i="2"/>
  <c r="F38" i="6" s="1"/>
  <c r="L38" i="2"/>
  <c r="L32" i="2"/>
  <c r="S33" i="6" s="1"/>
  <c r="L31" i="2"/>
  <c r="CH32" i="6" s="1"/>
  <c r="L11" i="2"/>
  <c r="F12" i="6" s="1"/>
  <c r="L9" i="2"/>
  <c r="F10" i="6" s="1"/>
  <c r="L5" i="2"/>
  <c r="F6" i="6" s="1"/>
  <c r="L58" i="2"/>
  <c r="BM59" i="6" s="1"/>
  <c r="L57" i="2"/>
  <c r="BM58" i="6" s="1"/>
  <c r="BZ58" i="6" s="1"/>
  <c r="L56" i="2"/>
  <c r="L55" i="2"/>
  <c r="CH56" i="6" s="1"/>
  <c r="L54" i="2"/>
  <c r="BM55" i="6" s="1"/>
  <c r="L53" i="2"/>
  <c r="F54" i="6" s="1"/>
  <c r="L52" i="2"/>
  <c r="L51" i="2"/>
  <c r="CH52" i="6" s="1"/>
  <c r="L50" i="2"/>
  <c r="BM51" i="6" s="1"/>
  <c r="L49" i="2"/>
  <c r="F50" i="6" s="1"/>
  <c r="L48" i="2"/>
  <c r="L47" i="2"/>
  <c r="CH48" i="6" s="1"/>
  <c r="L46" i="2"/>
  <c r="BM47" i="6" s="1"/>
  <c r="L45" i="2"/>
  <c r="F46" i="6" s="1"/>
  <c r="L44" i="2"/>
  <c r="BM45" i="6" s="1"/>
  <c r="L43" i="2"/>
  <c r="CH44" i="6" s="1"/>
  <c r="L42" i="2"/>
  <c r="BM43" i="6" s="1"/>
  <c r="L41" i="2"/>
  <c r="F42" i="6" s="1"/>
  <c r="L30" i="2"/>
  <c r="CH31" i="6" s="1"/>
  <c r="L29" i="2"/>
  <c r="BZ30" i="6" s="1"/>
  <c r="L28" i="2"/>
  <c r="F29" i="6" s="1"/>
  <c r="L27" i="2"/>
  <c r="L26" i="2"/>
  <c r="CH27" i="6" s="1"/>
  <c r="L25" i="2"/>
  <c r="F26" i="6" s="1"/>
  <c r="L24" i="2"/>
  <c r="F25" i="6" s="1"/>
  <c r="L23" i="2"/>
  <c r="F24" i="6" s="1"/>
  <c r="L22" i="2"/>
  <c r="L21" i="2"/>
  <c r="S22" i="6" s="1"/>
  <c r="L20" i="2"/>
  <c r="S21" i="6" s="1"/>
  <c r="L19" i="2"/>
  <c r="S20" i="6" s="1"/>
  <c r="L18" i="2"/>
  <c r="CH19" i="6" s="1"/>
  <c r="L17" i="2"/>
  <c r="F18" i="6" s="1"/>
  <c r="L16" i="2"/>
  <c r="F17" i="6" s="1"/>
  <c r="L15" i="2"/>
  <c r="F16" i="6" s="1"/>
  <c r="L14" i="2"/>
  <c r="L13" i="2"/>
  <c r="F14" i="6" s="1"/>
  <c r="L12" i="2"/>
  <c r="F13" i="6" s="1"/>
  <c r="L10" i="2"/>
  <c r="L8" i="2"/>
  <c r="L7" i="2"/>
  <c r="CH8" i="6" s="1"/>
  <c r="L6" i="2"/>
  <c r="BM7" i="6" s="1"/>
  <c r="L4" i="2"/>
  <c r="AA5" i="6" s="1"/>
  <c r="L3" i="2"/>
  <c r="BM29" i="6" l="1"/>
  <c r="F40" i="6"/>
  <c r="S32" i="6"/>
  <c r="AA18" i="6"/>
  <c r="BM21" i="6"/>
  <c r="CH43" i="6"/>
  <c r="F59" i="6"/>
  <c r="AA6" i="6"/>
  <c r="BM13" i="6"/>
  <c r="CH18" i="6"/>
  <c r="F51" i="6"/>
  <c r="F7" i="6"/>
  <c r="AA37" i="6"/>
  <c r="BM38" i="6"/>
  <c r="BZ33" i="6"/>
  <c r="F43" i="6"/>
  <c r="CH59" i="6"/>
  <c r="F56" i="6"/>
  <c r="F48" i="6"/>
  <c r="F20" i="6"/>
  <c r="S30" i="6"/>
  <c r="AA46" i="6"/>
  <c r="AA33" i="6"/>
  <c r="AA25" i="6"/>
  <c r="AA17" i="6"/>
  <c r="BM54" i="6"/>
  <c r="BM37" i="6"/>
  <c r="BM26" i="6"/>
  <c r="BM18" i="6"/>
  <c r="BM6" i="6"/>
  <c r="BZ29" i="6"/>
  <c r="CH55" i="6"/>
  <c r="CH30" i="6"/>
  <c r="CH14" i="6"/>
  <c r="F55" i="6"/>
  <c r="F47" i="6"/>
  <c r="F36" i="6"/>
  <c r="S41" i="6"/>
  <c r="S25" i="6"/>
  <c r="AA41" i="6"/>
  <c r="AA30" i="6"/>
  <c r="AA22" i="6"/>
  <c r="AA14" i="6"/>
  <c r="BM46" i="6"/>
  <c r="BM33" i="6"/>
  <c r="BM25" i="6"/>
  <c r="BM17" i="6"/>
  <c r="BZ40" i="6"/>
  <c r="BZ22" i="6"/>
  <c r="CH51" i="6"/>
  <c r="CH26" i="6"/>
  <c r="CH7" i="6"/>
  <c r="F52" i="6"/>
  <c r="F44" i="6"/>
  <c r="F32" i="6"/>
  <c r="F8" i="6"/>
  <c r="S37" i="6"/>
  <c r="AA38" i="6"/>
  <c r="AA29" i="6"/>
  <c r="AA21" i="6"/>
  <c r="AA13" i="6"/>
  <c r="BM41" i="6"/>
  <c r="BM30" i="6"/>
  <c r="BM22" i="6"/>
  <c r="BM14" i="6"/>
  <c r="BZ34" i="6"/>
  <c r="BZ21" i="6"/>
  <c r="CH47" i="6"/>
  <c r="CH22" i="6"/>
  <c r="CH6" i="6"/>
  <c r="L59" i="2"/>
  <c r="E58" i="1" s="1"/>
  <c r="CH4" i="6"/>
  <c r="BM4" i="6"/>
  <c r="AA4" i="6"/>
  <c r="BM15" i="6"/>
  <c r="AA15" i="6"/>
  <c r="BZ15" i="6"/>
  <c r="BZ23" i="6"/>
  <c r="BM23" i="6"/>
  <c r="AA23" i="6"/>
  <c r="F49" i="6"/>
  <c r="CH49" i="6"/>
  <c r="F53" i="6"/>
  <c r="CH53" i="6"/>
  <c r="F57" i="6"/>
  <c r="CH57" i="6"/>
  <c r="BM39" i="6"/>
  <c r="AA39" i="6"/>
  <c r="S39" i="6"/>
  <c r="F4" i="6"/>
  <c r="BM11" i="6"/>
  <c r="AA11" i="6"/>
  <c r="CH20" i="6"/>
  <c r="BZ20" i="6"/>
  <c r="BM20" i="6"/>
  <c r="AA20" i="6"/>
  <c r="F27" i="6"/>
  <c r="F11" i="6"/>
  <c r="AA53" i="6"/>
  <c r="CH46" i="6"/>
  <c r="AA58" i="6"/>
  <c r="AA50" i="6"/>
  <c r="AA42" i="6"/>
  <c r="AA34" i="6"/>
  <c r="AA10" i="6"/>
  <c r="BM50" i="6"/>
  <c r="BM42" i="6"/>
  <c r="BM10" i="6"/>
  <c r="CH11" i="6"/>
  <c r="F9" i="6"/>
  <c r="CH9" i="6"/>
  <c r="BM19" i="6"/>
  <c r="AA19" i="6"/>
  <c r="BM27" i="6"/>
  <c r="AA27" i="6"/>
  <c r="S27" i="6"/>
  <c r="BM31" i="6"/>
  <c r="AA31" i="6"/>
  <c r="F45" i="6"/>
  <c r="CH45" i="6"/>
  <c r="BZ35" i="6"/>
  <c r="BM35" i="6"/>
  <c r="AA35" i="6"/>
  <c r="CH39" i="6"/>
  <c r="CH23" i="6"/>
  <c r="CH15" i="6"/>
  <c r="F5" i="6"/>
  <c r="CH5" i="6"/>
  <c r="CH16" i="6"/>
  <c r="BM16" i="6"/>
  <c r="AA16" i="6"/>
  <c r="CH24" i="6"/>
  <c r="BM24" i="6"/>
  <c r="AA24" i="6"/>
  <c r="CH28" i="6"/>
  <c r="BM28" i="6"/>
  <c r="AA28" i="6"/>
  <c r="S58" i="6"/>
  <c r="F58" i="6"/>
  <c r="CH12" i="6"/>
  <c r="BM12" i="6"/>
  <c r="AA12" i="6"/>
  <c r="S34" i="6"/>
  <c r="F34" i="6"/>
  <c r="F35" i="6"/>
  <c r="F19" i="6"/>
  <c r="S15" i="6"/>
  <c r="AA45" i="6"/>
  <c r="BM53" i="6"/>
  <c r="BM5" i="6"/>
  <c r="CH54" i="6"/>
  <c r="CH38" i="6"/>
  <c r="F39" i="6"/>
  <c r="F31" i="6"/>
  <c r="F23" i="6"/>
  <c r="F15" i="6"/>
  <c r="S35" i="6"/>
  <c r="S23" i="6"/>
  <c r="AA57" i="6"/>
  <c r="AA49" i="6"/>
  <c r="AA9" i="6"/>
  <c r="BM57" i="6"/>
  <c r="BM49" i="6"/>
  <c r="BM9" i="6"/>
  <c r="BZ39" i="6"/>
  <c r="BZ27" i="6"/>
  <c r="CH58" i="6"/>
  <c r="CH50" i="6"/>
  <c r="CH42" i="6"/>
  <c r="CH34" i="6"/>
  <c r="CH10" i="6"/>
  <c r="F30" i="6"/>
  <c r="F22" i="6"/>
  <c r="S40" i="6"/>
  <c r="S29" i="6"/>
  <c r="AA56" i="6"/>
  <c r="AA52" i="6"/>
  <c r="AA48" i="6"/>
  <c r="AA44" i="6"/>
  <c r="AA40" i="6"/>
  <c r="AA36" i="6"/>
  <c r="AA32" i="6"/>
  <c r="AA8" i="6"/>
  <c r="BM56" i="6"/>
  <c r="BM52" i="6"/>
  <c r="BM48" i="6"/>
  <c r="BM44" i="6"/>
  <c r="BM40" i="6"/>
  <c r="BM36" i="6"/>
  <c r="BM32" i="6"/>
  <c r="BM8" i="6"/>
  <c r="BZ37" i="6"/>
  <c r="BZ32" i="6"/>
  <c r="BZ25" i="6"/>
  <c r="CH41" i="6"/>
  <c r="CH37" i="6"/>
  <c r="CH33" i="6"/>
  <c r="CH29" i="6"/>
  <c r="CH25" i="6"/>
  <c r="CH21" i="6"/>
  <c r="CH17" i="6"/>
  <c r="CH13" i="6"/>
  <c r="F41" i="6"/>
  <c r="F33" i="6"/>
  <c r="F21" i="6"/>
  <c r="AA59" i="6"/>
  <c r="AA55" i="6"/>
  <c r="AA51" i="6"/>
  <c r="AA47" i="6"/>
  <c r="AA43" i="6"/>
  <c r="AA7" i="6"/>
  <c r="T60" i="6"/>
  <c r="I105" i="1"/>
  <c r="CG5" i="6"/>
  <c r="CI5" i="6"/>
  <c r="CJ5" i="6"/>
  <c r="CK5" i="6"/>
  <c r="CL5" i="6"/>
  <c r="CG6" i="6"/>
  <c r="CI6" i="6"/>
  <c r="CJ6" i="6"/>
  <c r="CK6" i="6"/>
  <c r="CL6" i="6"/>
  <c r="CG7" i="6"/>
  <c r="CI7" i="6"/>
  <c r="CJ7" i="6"/>
  <c r="CK7" i="6"/>
  <c r="CL7" i="6"/>
  <c r="CG8" i="6"/>
  <c r="CI8" i="6"/>
  <c r="CJ8" i="6"/>
  <c r="CK8" i="6"/>
  <c r="CL8" i="6"/>
  <c r="CG9" i="6"/>
  <c r="CI9" i="6"/>
  <c r="CJ9" i="6"/>
  <c r="CK9" i="6"/>
  <c r="CL9" i="6"/>
  <c r="CG10" i="6"/>
  <c r="CI10" i="6"/>
  <c r="CJ10" i="6"/>
  <c r="CK10" i="6"/>
  <c r="CL10" i="6"/>
  <c r="CG11" i="6"/>
  <c r="CI11" i="6"/>
  <c r="CJ11" i="6"/>
  <c r="CK11" i="6"/>
  <c r="CL11" i="6"/>
  <c r="CG12" i="6"/>
  <c r="CI12" i="6"/>
  <c r="CJ12" i="6"/>
  <c r="CK12" i="6"/>
  <c r="CL12" i="6"/>
  <c r="CG13" i="6"/>
  <c r="CI13" i="6"/>
  <c r="CJ13" i="6"/>
  <c r="CK13" i="6"/>
  <c r="CL13" i="6"/>
  <c r="CG14" i="6"/>
  <c r="CI14" i="6"/>
  <c r="CJ14" i="6"/>
  <c r="CK14" i="6"/>
  <c r="CL14" i="6"/>
  <c r="CG15" i="6"/>
  <c r="CI15" i="6"/>
  <c r="CJ15" i="6"/>
  <c r="CK15" i="6"/>
  <c r="CL15" i="6"/>
  <c r="CG16" i="6"/>
  <c r="CI16" i="6"/>
  <c r="CJ16" i="6"/>
  <c r="CK16" i="6"/>
  <c r="CL16" i="6"/>
  <c r="CG17" i="6"/>
  <c r="CI17" i="6"/>
  <c r="CJ17" i="6"/>
  <c r="CK17" i="6"/>
  <c r="CL17" i="6"/>
  <c r="CG18" i="6"/>
  <c r="CI18" i="6"/>
  <c r="CJ18" i="6"/>
  <c r="CK18" i="6"/>
  <c r="CL18" i="6"/>
  <c r="CG19" i="6"/>
  <c r="CI19" i="6"/>
  <c r="CJ19" i="6"/>
  <c r="CK19" i="6"/>
  <c r="CL19" i="6"/>
  <c r="CG20" i="6"/>
  <c r="CI20" i="6"/>
  <c r="CJ20" i="6"/>
  <c r="CK20" i="6"/>
  <c r="CL20" i="6"/>
  <c r="CG21" i="6"/>
  <c r="CI21" i="6"/>
  <c r="CJ21" i="6"/>
  <c r="CK21" i="6"/>
  <c r="CL21" i="6"/>
  <c r="CG22" i="6"/>
  <c r="CI22" i="6"/>
  <c r="CJ22" i="6"/>
  <c r="CK22" i="6"/>
  <c r="CL22" i="6"/>
  <c r="CG23" i="6"/>
  <c r="CI23" i="6"/>
  <c r="CJ23" i="6"/>
  <c r="CK23" i="6"/>
  <c r="CL23" i="6"/>
  <c r="CG24" i="6"/>
  <c r="CI24" i="6"/>
  <c r="CJ24" i="6"/>
  <c r="CK24" i="6"/>
  <c r="CL24" i="6"/>
  <c r="CG25" i="6"/>
  <c r="CI25" i="6"/>
  <c r="CJ25" i="6"/>
  <c r="CK25" i="6"/>
  <c r="CL25" i="6"/>
  <c r="CG26" i="6"/>
  <c r="CI26" i="6"/>
  <c r="CJ26" i="6"/>
  <c r="CK26" i="6"/>
  <c r="CL26" i="6"/>
  <c r="CG27" i="6"/>
  <c r="CI27" i="6"/>
  <c r="CJ27" i="6"/>
  <c r="CK27" i="6"/>
  <c r="CL27" i="6"/>
  <c r="CG28" i="6"/>
  <c r="CI28" i="6"/>
  <c r="CJ28" i="6"/>
  <c r="CK28" i="6"/>
  <c r="CL28" i="6"/>
  <c r="CG29" i="6"/>
  <c r="CI29" i="6"/>
  <c r="CJ29" i="6"/>
  <c r="CK29" i="6"/>
  <c r="CL29" i="6"/>
  <c r="CG30" i="6"/>
  <c r="CI30" i="6"/>
  <c r="CJ30" i="6"/>
  <c r="CK30" i="6"/>
  <c r="CL30" i="6"/>
  <c r="CG31" i="6"/>
  <c r="CI31" i="6"/>
  <c r="CJ31" i="6"/>
  <c r="CK31" i="6"/>
  <c r="CL31" i="6"/>
  <c r="CG32" i="6"/>
  <c r="CI32" i="6"/>
  <c r="CJ32" i="6"/>
  <c r="CK32" i="6"/>
  <c r="CL32" i="6"/>
  <c r="CG33" i="6"/>
  <c r="CI33" i="6"/>
  <c r="CJ33" i="6"/>
  <c r="CK33" i="6"/>
  <c r="CL33" i="6"/>
  <c r="CG34" i="6"/>
  <c r="CI34" i="6"/>
  <c r="CJ34" i="6"/>
  <c r="CK34" i="6"/>
  <c r="CL34" i="6"/>
  <c r="CG35" i="6"/>
  <c r="CI35" i="6"/>
  <c r="CJ35" i="6"/>
  <c r="CK35" i="6"/>
  <c r="CL35" i="6"/>
  <c r="CG36" i="6"/>
  <c r="CI36" i="6"/>
  <c r="CJ36" i="6"/>
  <c r="CK36" i="6"/>
  <c r="CL36" i="6"/>
  <c r="CG37" i="6"/>
  <c r="CI37" i="6"/>
  <c r="CJ37" i="6"/>
  <c r="CK37" i="6"/>
  <c r="CL37" i="6"/>
  <c r="CG38" i="6"/>
  <c r="CI38" i="6"/>
  <c r="CJ38" i="6"/>
  <c r="CK38" i="6"/>
  <c r="CL38" i="6"/>
  <c r="CG39" i="6"/>
  <c r="CI39" i="6"/>
  <c r="CJ39" i="6"/>
  <c r="CK39" i="6"/>
  <c r="CL39" i="6"/>
  <c r="CG40" i="6"/>
  <c r="CI40" i="6"/>
  <c r="CJ40" i="6"/>
  <c r="CK40" i="6"/>
  <c r="CL40" i="6"/>
  <c r="CG41" i="6"/>
  <c r="CI41" i="6"/>
  <c r="CJ41" i="6"/>
  <c r="CK41" i="6"/>
  <c r="CL41" i="6"/>
  <c r="CG42" i="6"/>
  <c r="CI42" i="6"/>
  <c r="CJ42" i="6"/>
  <c r="CK42" i="6"/>
  <c r="CL42" i="6"/>
  <c r="CG43" i="6"/>
  <c r="CI43" i="6"/>
  <c r="CJ43" i="6"/>
  <c r="CK43" i="6"/>
  <c r="CL43" i="6"/>
  <c r="CG44" i="6"/>
  <c r="CI44" i="6"/>
  <c r="CJ44" i="6"/>
  <c r="CK44" i="6"/>
  <c r="CL44" i="6"/>
  <c r="CG45" i="6"/>
  <c r="CI45" i="6"/>
  <c r="CJ45" i="6"/>
  <c r="CK45" i="6"/>
  <c r="CL45" i="6"/>
  <c r="CG46" i="6"/>
  <c r="CI46" i="6"/>
  <c r="CJ46" i="6"/>
  <c r="CK46" i="6"/>
  <c r="CL46" i="6"/>
  <c r="CG47" i="6"/>
  <c r="CI47" i="6"/>
  <c r="CJ47" i="6"/>
  <c r="CK47" i="6"/>
  <c r="CL47" i="6"/>
  <c r="CG48" i="6"/>
  <c r="CI48" i="6"/>
  <c r="CJ48" i="6"/>
  <c r="CK48" i="6"/>
  <c r="CL48" i="6"/>
  <c r="CG49" i="6"/>
  <c r="CI49" i="6"/>
  <c r="CJ49" i="6"/>
  <c r="CK49" i="6"/>
  <c r="CL49" i="6"/>
  <c r="CG50" i="6"/>
  <c r="CI50" i="6"/>
  <c r="CJ50" i="6"/>
  <c r="CK50" i="6"/>
  <c r="CL50" i="6"/>
  <c r="CG51" i="6"/>
  <c r="CI51" i="6"/>
  <c r="CJ51" i="6"/>
  <c r="CK51" i="6"/>
  <c r="CL51" i="6"/>
  <c r="CG52" i="6"/>
  <c r="CI52" i="6"/>
  <c r="CJ52" i="6"/>
  <c r="CK52" i="6"/>
  <c r="CL52" i="6"/>
  <c r="CG53" i="6"/>
  <c r="CI53" i="6"/>
  <c r="CJ53" i="6"/>
  <c r="CK53" i="6"/>
  <c r="CL53" i="6"/>
  <c r="CG54" i="6"/>
  <c r="CI54" i="6"/>
  <c r="CJ54" i="6"/>
  <c r="CK54" i="6"/>
  <c r="CL54" i="6"/>
  <c r="CG55" i="6"/>
  <c r="CI55" i="6"/>
  <c r="CJ55" i="6"/>
  <c r="CK55" i="6"/>
  <c r="CL55" i="6"/>
  <c r="CG56" i="6"/>
  <c r="CI56" i="6"/>
  <c r="CJ56" i="6"/>
  <c r="CK56" i="6"/>
  <c r="CL56" i="6"/>
  <c r="CG57" i="6"/>
  <c r="CI57" i="6"/>
  <c r="CJ57" i="6"/>
  <c r="CK57" i="6"/>
  <c r="CL57" i="6"/>
  <c r="CG58" i="6"/>
  <c r="CI58" i="6"/>
  <c r="CJ58" i="6"/>
  <c r="CK58" i="6"/>
  <c r="CL58" i="6"/>
  <c r="CG59" i="6"/>
  <c r="CI59" i="6"/>
  <c r="CJ59" i="6"/>
  <c r="CK59" i="6"/>
  <c r="CL59" i="6"/>
  <c r="CI4" i="6"/>
  <c r="CJ4" i="6"/>
  <c r="CK4" i="6"/>
  <c r="CL4" i="6"/>
  <c r="CG4" i="6"/>
  <c r="Z5" i="6"/>
  <c r="AB5" i="6"/>
  <c r="AC5" i="6"/>
  <c r="AD5" i="6"/>
  <c r="AE5" i="6"/>
  <c r="Z6" i="6"/>
  <c r="AB6" i="6"/>
  <c r="AC6" i="6"/>
  <c r="AD6" i="6"/>
  <c r="AE6" i="6"/>
  <c r="Z7" i="6"/>
  <c r="AB7" i="6"/>
  <c r="AC7" i="6"/>
  <c r="AD7" i="6"/>
  <c r="AE7" i="6"/>
  <c r="Z8" i="6"/>
  <c r="AB8" i="6"/>
  <c r="AC8" i="6"/>
  <c r="AD8" i="6"/>
  <c r="AE8" i="6"/>
  <c r="Z9" i="6"/>
  <c r="AB9" i="6"/>
  <c r="AC9" i="6"/>
  <c r="AD9" i="6"/>
  <c r="AE9" i="6"/>
  <c r="Z10" i="6"/>
  <c r="AB10" i="6"/>
  <c r="AC10" i="6"/>
  <c r="AD10" i="6"/>
  <c r="AE10" i="6"/>
  <c r="Z11" i="6"/>
  <c r="AB11" i="6"/>
  <c r="AC11" i="6"/>
  <c r="AD11" i="6"/>
  <c r="AE11" i="6"/>
  <c r="Z12" i="6"/>
  <c r="AB12" i="6"/>
  <c r="AC12" i="6"/>
  <c r="AD12" i="6"/>
  <c r="AE12" i="6"/>
  <c r="Z13" i="6"/>
  <c r="AB13" i="6"/>
  <c r="AC13" i="6"/>
  <c r="AD13" i="6"/>
  <c r="AE13" i="6"/>
  <c r="Z14" i="6"/>
  <c r="AB14" i="6"/>
  <c r="AC14" i="6"/>
  <c r="AD14" i="6"/>
  <c r="AE14" i="6"/>
  <c r="Z15" i="6"/>
  <c r="AB15" i="6"/>
  <c r="AC15" i="6"/>
  <c r="AD15" i="6"/>
  <c r="AE15" i="6"/>
  <c r="Z16" i="6"/>
  <c r="AB16" i="6"/>
  <c r="AC16" i="6"/>
  <c r="AD16" i="6"/>
  <c r="AE16" i="6"/>
  <c r="Z17" i="6"/>
  <c r="AB17" i="6"/>
  <c r="AC17" i="6"/>
  <c r="AD17" i="6"/>
  <c r="AE17" i="6"/>
  <c r="Z18" i="6"/>
  <c r="AB18" i="6"/>
  <c r="AC18" i="6"/>
  <c r="AD18" i="6"/>
  <c r="AE18" i="6"/>
  <c r="Z19" i="6"/>
  <c r="AB19" i="6"/>
  <c r="AC19" i="6"/>
  <c r="AD19" i="6"/>
  <c r="AE19" i="6"/>
  <c r="Z20" i="6"/>
  <c r="AB20" i="6"/>
  <c r="AC20" i="6"/>
  <c r="AD20" i="6"/>
  <c r="AE20" i="6"/>
  <c r="Z21" i="6"/>
  <c r="AB21" i="6"/>
  <c r="AC21" i="6"/>
  <c r="AD21" i="6"/>
  <c r="AE21" i="6"/>
  <c r="Z22" i="6"/>
  <c r="AB22" i="6"/>
  <c r="AC22" i="6"/>
  <c r="AD22" i="6"/>
  <c r="AE22" i="6"/>
  <c r="Z23" i="6"/>
  <c r="AB23" i="6"/>
  <c r="AC23" i="6"/>
  <c r="AD23" i="6"/>
  <c r="AE23" i="6"/>
  <c r="Z24" i="6"/>
  <c r="AB24" i="6"/>
  <c r="AC24" i="6"/>
  <c r="AD24" i="6"/>
  <c r="AE24" i="6"/>
  <c r="Z25" i="6"/>
  <c r="AB25" i="6"/>
  <c r="AC25" i="6"/>
  <c r="AD25" i="6"/>
  <c r="AE25" i="6"/>
  <c r="Z26" i="6"/>
  <c r="AB26" i="6"/>
  <c r="AC26" i="6"/>
  <c r="AD26" i="6"/>
  <c r="AE26" i="6"/>
  <c r="Z27" i="6"/>
  <c r="AB27" i="6"/>
  <c r="AC27" i="6"/>
  <c r="AD27" i="6"/>
  <c r="AE27" i="6"/>
  <c r="Z28" i="6"/>
  <c r="AB28" i="6"/>
  <c r="AC28" i="6"/>
  <c r="AD28" i="6"/>
  <c r="AE28" i="6"/>
  <c r="Z29" i="6"/>
  <c r="AB29" i="6"/>
  <c r="AC29" i="6"/>
  <c r="AD29" i="6"/>
  <c r="AE29" i="6"/>
  <c r="Z30" i="6"/>
  <c r="AB30" i="6"/>
  <c r="AC30" i="6"/>
  <c r="AD30" i="6"/>
  <c r="AE30" i="6"/>
  <c r="Z31" i="6"/>
  <c r="AB31" i="6"/>
  <c r="AC31" i="6"/>
  <c r="AD31" i="6"/>
  <c r="AE31" i="6"/>
  <c r="Z32" i="6"/>
  <c r="AB32" i="6"/>
  <c r="AC32" i="6"/>
  <c r="AD32" i="6"/>
  <c r="AE32" i="6"/>
  <c r="Z33" i="6"/>
  <c r="AB33" i="6"/>
  <c r="AC33" i="6"/>
  <c r="AD33" i="6"/>
  <c r="AE33" i="6"/>
  <c r="Z34" i="6"/>
  <c r="AB34" i="6"/>
  <c r="AC34" i="6"/>
  <c r="AD34" i="6"/>
  <c r="AE34" i="6"/>
  <c r="Z35" i="6"/>
  <c r="AB35" i="6"/>
  <c r="AC35" i="6"/>
  <c r="AD35" i="6"/>
  <c r="AE35" i="6"/>
  <c r="Z36" i="6"/>
  <c r="AB36" i="6"/>
  <c r="AC36" i="6"/>
  <c r="AD36" i="6"/>
  <c r="AE36" i="6"/>
  <c r="Z37" i="6"/>
  <c r="AB37" i="6"/>
  <c r="AC37" i="6"/>
  <c r="AD37" i="6"/>
  <c r="AE37" i="6"/>
  <c r="Z38" i="6"/>
  <c r="AB38" i="6"/>
  <c r="AC38" i="6"/>
  <c r="AD38" i="6"/>
  <c r="AE38" i="6"/>
  <c r="Z39" i="6"/>
  <c r="AB39" i="6"/>
  <c r="AC39" i="6"/>
  <c r="AD39" i="6"/>
  <c r="AE39" i="6"/>
  <c r="Z40" i="6"/>
  <c r="AB40" i="6"/>
  <c r="AC40" i="6"/>
  <c r="AD40" i="6"/>
  <c r="AE40" i="6"/>
  <c r="Z41" i="6"/>
  <c r="AB41" i="6"/>
  <c r="AC41" i="6"/>
  <c r="AD41" i="6"/>
  <c r="AE41" i="6"/>
  <c r="Z42" i="6"/>
  <c r="AB42" i="6"/>
  <c r="AC42" i="6"/>
  <c r="AD42" i="6"/>
  <c r="AE42" i="6"/>
  <c r="Z43" i="6"/>
  <c r="AB43" i="6"/>
  <c r="AC43" i="6"/>
  <c r="AD43" i="6"/>
  <c r="AE43" i="6"/>
  <c r="Z44" i="6"/>
  <c r="AB44" i="6"/>
  <c r="AC44" i="6"/>
  <c r="AD44" i="6"/>
  <c r="AE44" i="6"/>
  <c r="Z45" i="6"/>
  <c r="AB45" i="6"/>
  <c r="AC45" i="6"/>
  <c r="AD45" i="6"/>
  <c r="AE45" i="6"/>
  <c r="Z46" i="6"/>
  <c r="AB46" i="6"/>
  <c r="AC46" i="6"/>
  <c r="AD46" i="6"/>
  <c r="AE46" i="6"/>
  <c r="Z47" i="6"/>
  <c r="AB47" i="6"/>
  <c r="AC47" i="6"/>
  <c r="AD47" i="6"/>
  <c r="AE47" i="6"/>
  <c r="Z48" i="6"/>
  <c r="AB48" i="6"/>
  <c r="AC48" i="6"/>
  <c r="AD48" i="6"/>
  <c r="AE48" i="6"/>
  <c r="Z49" i="6"/>
  <c r="AB49" i="6"/>
  <c r="AC49" i="6"/>
  <c r="AD49" i="6"/>
  <c r="AE49" i="6"/>
  <c r="Z50" i="6"/>
  <c r="AB50" i="6"/>
  <c r="AC50" i="6"/>
  <c r="AD50" i="6"/>
  <c r="AE50" i="6"/>
  <c r="Z51" i="6"/>
  <c r="AB51" i="6"/>
  <c r="AC51" i="6"/>
  <c r="AD51" i="6"/>
  <c r="AE51" i="6"/>
  <c r="Z52" i="6"/>
  <c r="AB52" i="6"/>
  <c r="AC52" i="6"/>
  <c r="AD52" i="6"/>
  <c r="AE52" i="6"/>
  <c r="Z53" i="6"/>
  <c r="AB53" i="6"/>
  <c r="AC53" i="6"/>
  <c r="AD53" i="6"/>
  <c r="AE53" i="6"/>
  <c r="Z54" i="6"/>
  <c r="AB54" i="6"/>
  <c r="AC54" i="6"/>
  <c r="AD54" i="6"/>
  <c r="AE54" i="6"/>
  <c r="Z55" i="6"/>
  <c r="AB55" i="6"/>
  <c r="AC55" i="6"/>
  <c r="AD55" i="6"/>
  <c r="AE55" i="6"/>
  <c r="Z56" i="6"/>
  <c r="AB56" i="6"/>
  <c r="AC56" i="6"/>
  <c r="AD56" i="6"/>
  <c r="AE56" i="6"/>
  <c r="Z57" i="6"/>
  <c r="AB57" i="6"/>
  <c r="AC57" i="6"/>
  <c r="AD57" i="6"/>
  <c r="AE57" i="6"/>
  <c r="Z58" i="6"/>
  <c r="AB58" i="6"/>
  <c r="AC58" i="6"/>
  <c r="AD58" i="6"/>
  <c r="AE58" i="6"/>
  <c r="Z59" i="6"/>
  <c r="AB59" i="6"/>
  <c r="AC59" i="6"/>
  <c r="AD59" i="6"/>
  <c r="AE59" i="6"/>
  <c r="AB4" i="6"/>
  <c r="AC4" i="6"/>
  <c r="AD4" i="6"/>
  <c r="AE4" i="6"/>
  <c r="Z4" i="6"/>
  <c r="BL5" i="6"/>
  <c r="BN5" i="6"/>
  <c r="BO5" i="6"/>
  <c r="BP5" i="6"/>
  <c r="BQ5" i="6"/>
  <c r="BL6" i="6"/>
  <c r="BN6" i="6"/>
  <c r="BO6" i="6"/>
  <c r="BP6" i="6"/>
  <c r="BQ6" i="6"/>
  <c r="BL7" i="6"/>
  <c r="BN7" i="6"/>
  <c r="BO7" i="6"/>
  <c r="BP7" i="6"/>
  <c r="BQ7" i="6"/>
  <c r="BL8" i="6"/>
  <c r="BN8" i="6"/>
  <c r="BO8" i="6"/>
  <c r="BP8" i="6"/>
  <c r="BQ8" i="6"/>
  <c r="BL9" i="6"/>
  <c r="BN9" i="6"/>
  <c r="BO9" i="6"/>
  <c r="BP9" i="6"/>
  <c r="BQ9" i="6"/>
  <c r="BL10" i="6"/>
  <c r="BN10" i="6"/>
  <c r="BO10" i="6"/>
  <c r="BP10" i="6"/>
  <c r="BQ10" i="6"/>
  <c r="BL11" i="6"/>
  <c r="BN11" i="6"/>
  <c r="BO11" i="6"/>
  <c r="BP11" i="6"/>
  <c r="BQ11" i="6"/>
  <c r="BL12" i="6"/>
  <c r="BN12" i="6"/>
  <c r="BO12" i="6"/>
  <c r="BP12" i="6"/>
  <c r="BQ12" i="6"/>
  <c r="BL13" i="6"/>
  <c r="BN13" i="6"/>
  <c r="BO13" i="6"/>
  <c r="BP13" i="6"/>
  <c r="BQ13" i="6"/>
  <c r="BL14" i="6"/>
  <c r="BN14" i="6"/>
  <c r="BO14" i="6"/>
  <c r="BP14" i="6"/>
  <c r="BQ14" i="6"/>
  <c r="BL15" i="6"/>
  <c r="BN15" i="6"/>
  <c r="BO15" i="6"/>
  <c r="BP15" i="6"/>
  <c r="BQ15" i="6"/>
  <c r="BL16" i="6"/>
  <c r="BN16" i="6"/>
  <c r="BO16" i="6"/>
  <c r="BP16" i="6"/>
  <c r="BQ16" i="6"/>
  <c r="BL17" i="6"/>
  <c r="BN17" i="6"/>
  <c r="BO17" i="6"/>
  <c r="BP17" i="6"/>
  <c r="BQ17" i="6"/>
  <c r="BL18" i="6"/>
  <c r="BN18" i="6"/>
  <c r="BO18" i="6"/>
  <c r="BP18" i="6"/>
  <c r="BQ18" i="6"/>
  <c r="BL19" i="6"/>
  <c r="BN19" i="6"/>
  <c r="BO19" i="6"/>
  <c r="BP19" i="6"/>
  <c r="BQ19" i="6"/>
  <c r="BL20" i="6"/>
  <c r="BN20" i="6"/>
  <c r="BO20" i="6"/>
  <c r="BP20" i="6"/>
  <c r="BQ20" i="6"/>
  <c r="BL21" i="6"/>
  <c r="BN21" i="6"/>
  <c r="BO21" i="6"/>
  <c r="BP21" i="6"/>
  <c r="BQ21" i="6"/>
  <c r="BL22" i="6"/>
  <c r="BN22" i="6"/>
  <c r="BO22" i="6"/>
  <c r="BP22" i="6"/>
  <c r="BQ22" i="6"/>
  <c r="BL23" i="6"/>
  <c r="BN23" i="6"/>
  <c r="BO23" i="6"/>
  <c r="BP23" i="6"/>
  <c r="BQ23" i="6"/>
  <c r="BL24" i="6"/>
  <c r="BN24" i="6"/>
  <c r="BO24" i="6"/>
  <c r="BP24" i="6"/>
  <c r="BQ24" i="6"/>
  <c r="BL25" i="6"/>
  <c r="BN25" i="6"/>
  <c r="BO25" i="6"/>
  <c r="BP25" i="6"/>
  <c r="BQ25" i="6"/>
  <c r="BL26" i="6"/>
  <c r="BN26" i="6"/>
  <c r="BO26" i="6"/>
  <c r="BP26" i="6"/>
  <c r="BQ26" i="6"/>
  <c r="BL27" i="6"/>
  <c r="BN27" i="6"/>
  <c r="BO27" i="6"/>
  <c r="BP27" i="6"/>
  <c r="BQ27" i="6"/>
  <c r="BL28" i="6"/>
  <c r="BN28" i="6"/>
  <c r="BO28" i="6"/>
  <c r="BP28" i="6"/>
  <c r="BQ28" i="6"/>
  <c r="BL29" i="6"/>
  <c r="BN29" i="6"/>
  <c r="BO29" i="6"/>
  <c r="BP29" i="6"/>
  <c r="BQ29" i="6"/>
  <c r="BL30" i="6"/>
  <c r="BN30" i="6"/>
  <c r="BO30" i="6"/>
  <c r="BP30" i="6"/>
  <c r="BQ30" i="6"/>
  <c r="BL31" i="6"/>
  <c r="BN31" i="6"/>
  <c r="BO31" i="6"/>
  <c r="BP31" i="6"/>
  <c r="BQ31" i="6"/>
  <c r="BL32" i="6"/>
  <c r="BN32" i="6"/>
  <c r="BO32" i="6"/>
  <c r="BP32" i="6"/>
  <c r="BQ32" i="6"/>
  <c r="BL33" i="6"/>
  <c r="BN33" i="6"/>
  <c r="BO33" i="6"/>
  <c r="BP33" i="6"/>
  <c r="BQ33" i="6"/>
  <c r="BL34" i="6"/>
  <c r="BN34" i="6"/>
  <c r="BO34" i="6"/>
  <c r="BP34" i="6"/>
  <c r="BQ34" i="6"/>
  <c r="BL35" i="6"/>
  <c r="BN35" i="6"/>
  <c r="BO35" i="6"/>
  <c r="BP35" i="6"/>
  <c r="BQ35" i="6"/>
  <c r="BL36" i="6"/>
  <c r="BN36" i="6"/>
  <c r="BO36" i="6"/>
  <c r="BP36" i="6"/>
  <c r="BQ36" i="6"/>
  <c r="BL37" i="6"/>
  <c r="BN37" i="6"/>
  <c r="BO37" i="6"/>
  <c r="BP37" i="6"/>
  <c r="BQ37" i="6"/>
  <c r="BL38" i="6"/>
  <c r="BN38" i="6"/>
  <c r="BO38" i="6"/>
  <c r="BP38" i="6"/>
  <c r="BQ38" i="6"/>
  <c r="BL39" i="6"/>
  <c r="BN39" i="6"/>
  <c r="BO39" i="6"/>
  <c r="BP39" i="6"/>
  <c r="BQ39" i="6"/>
  <c r="BL40" i="6"/>
  <c r="BN40" i="6"/>
  <c r="BO40" i="6"/>
  <c r="BP40" i="6"/>
  <c r="BQ40" i="6"/>
  <c r="BL41" i="6"/>
  <c r="BN41" i="6"/>
  <c r="BO41" i="6"/>
  <c r="BP41" i="6"/>
  <c r="BQ41" i="6"/>
  <c r="BL42" i="6"/>
  <c r="BN42" i="6"/>
  <c r="BO42" i="6"/>
  <c r="BP42" i="6"/>
  <c r="BQ42" i="6"/>
  <c r="BL43" i="6"/>
  <c r="BN43" i="6"/>
  <c r="BO43" i="6"/>
  <c r="BP43" i="6"/>
  <c r="BQ43" i="6"/>
  <c r="BL44" i="6"/>
  <c r="BN44" i="6"/>
  <c r="BO44" i="6"/>
  <c r="BP44" i="6"/>
  <c r="BQ44" i="6"/>
  <c r="BL45" i="6"/>
  <c r="BN45" i="6"/>
  <c r="BO45" i="6"/>
  <c r="BP45" i="6"/>
  <c r="BQ45" i="6"/>
  <c r="BL46" i="6"/>
  <c r="BN46" i="6"/>
  <c r="BO46" i="6"/>
  <c r="BP46" i="6"/>
  <c r="BQ46" i="6"/>
  <c r="BL47" i="6"/>
  <c r="BN47" i="6"/>
  <c r="BO47" i="6"/>
  <c r="BP47" i="6"/>
  <c r="BQ47" i="6"/>
  <c r="BL48" i="6"/>
  <c r="BN48" i="6"/>
  <c r="BO48" i="6"/>
  <c r="BP48" i="6"/>
  <c r="BQ48" i="6"/>
  <c r="BL49" i="6"/>
  <c r="BN49" i="6"/>
  <c r="BO49" i="6"/>
  <c r="BP49" i="6"/>
  <c r="BQ49" i="6"/>
  <c r="BL50" i="6"/>
  <c r="BN50" i="6"/>
  <c r="BO50" i="6"/>
  <c r="BP50" i="6"/>
  <c r="BQ50" i="6"/>
  <c r="BL51" i="6"/>
  <c r="BN51" i="6"/>
  <c r="BO51" i="6"/>
  <c r="BP51" i="6"/>
  <c r="BQ51" i="6"/>
  <c r="BL52" i="6"/>
  <c r="BN52" i="6"/>
  <c r="BO52" i="6"/>
  <c r="BP52" i="6"/>
  <c r="BQ52" i="6"/>
  <c r="BL53" i="6"/>
  <c r="BN53" i="6"/>
  <c r="BO53" i="6"/>
  <c r="BP53" i="6"/>
  <c r="BQ53" i="6"/>
  <c r="BL54" i="6"/>
  <c r="BN54" i="6"/>
  <c r="BO54" i="6"/>
  <c r="BP54" i="6"/>
  <c r="BQ54" i="6"/>
  <c r="BL55" i="6"/>
  <c r="BN55" i="6"/>
  <c r="BO55" i="6"/>
  <c r="BP55" i="6"/>
  <c r="BQ55" i="6"/>
  <c r="BL56" i="6"/>
  <c r="BN56" i="6"/>
  <c r="BO56" i="6"/>
  <c r="BP56" i="6"/>
  <c r="BQ56" i="6"/>
  <c r="BL57" i="6"/>
  <c r="BN57" i="6"/>
  <c r="BO57" i="6"/>
  <c r="BP57" i="6"/>
  <c r="BQ57" i="6"/>
  <c r="BL58" i="6"/>
  <c r="BY58" i="6" s="1"/>
  <c r="BN58" i="6"/>
  <c r="CA58" i="6" s="1"/>
  <c r="BO58" i="6"/>
  <c r="BP58" i="6"/>
  <c r="BQ58" i="6"/>
  <c r="BL59" i="6"/>
  <c r="BN59" i="6"/>
  <c r="BO59" i="6"/>
  <c r="BP59" i="6"/>
  <c r="BQ59" i="6"/>
  <c r="BN4" i="6"/>
  <c r="BO4" i="6"/>
  <c r="BP4" i="6"/>
  <c r="BQ4" i="6"/>
  <c r="BL4" i="6"/>
  <c r="E5" i="6"/>
  <c r="G5" i="6"/>
  <c r="H5" i="6"/>
  <c r="I5" i="6"/>
  <c r="J5" i="6"/>
  <c r="E6" i="6"/>
  <c r="G6" i="6"/>
  <c r="H6" i="6"/>
  <c r="I6" i="6"/>
  <c r="J6" i="6"/>
  <c r="E7" i="6"/>
  <c r="G7" i="6"/>
  <c r="H7" i="6"/>
  <c r="I7" i="6"/>
  <c r="J7" i="6"/>
  <c r="E8" i="6"/>
  <c r="G8" i="6"/>
  <c r="H8" i="6"/>
  <c r="I8" i="6"/>
  <c r="J8" i="6"/>
  <c r="E9" i="6"/>
  <c r="G9" i="6"/>
  <c r="H9" i="6"/>
  <c r="I9" i="6"/>
  <c r="J9" i="6"/>
  <c r="E10" i="6"/>
  <c r="G10" i="6"/>
  <c r="H10" i="6"/>
  <c r="I10" i="6"/>
  <c r="J10" i="6"/>
  <c r="E11" i="6"/>
  <c r="G11" i="6"/>
  <c r="H11" i="6"/>
  <c r="I11" i="6"/>
  <c r="J11" i="6"/>
  <c r="E12" i="6"/>
  <c r="G12" i="6"/>
  <c r="H12" i="6"/>
  <c r="I12" i="6"/>
  <c r="J12" i="6"/>
  <c r="E13" i="6"/>
  <c r="G13" i="6"/>
  <c r="H13" i="6"/>
  <c r="I13" i="6"/>
  <c r="J13" i="6"/>
  <c r="E14" i="6"/>
  <c r="G14" i="6"/>
  <c r="H14" i="6"/>
  <c r="I14" i="6"/>
  <c r="J14" i="6"/>
  <c r="E15" i="6"/>
  <c r="G15" i="6"/>
  <c r="H15" i="6"/>
  <c r="I15" i="6"/>
  <c r="J15" i="6"/>
  <c r="E16" i="6"/>
  <c r="G16" i="6"/>
  <c r="H16" i="6"/>
  <c r="I16" i="6"/>
  <c r="J16" i="6"/>
  <c r="E17" i="6"/>
  <c r="G17" i="6"/>
  <c r="H17" i="6"/>
  <c r="I17" i="6"/>
  <c r="J17" i="6"/>
  <c r="E18" i="6"/>
  <c r="G18" i="6"/>
  <c r="H18" i="6"/>
  <c r="I18" i="6"/>
  <c r="J18" i="6"/>
  <c r="E19" i="6"/>
  <c r="G19" i="6"/>
  <c r="H19" i="6"/>
  <c r="I19" i="6"/>
  <c r="J19" i="6"/>
  <c r="E20" i="6"/>
  <c r="G20" i="6"/>
  <c r="H20" i="6"/>
  <c r="I20" i="6"/>
  <c r="J20" i="6"/>
  <c r="E21" i="6"/>
  <c r="G21" i="6"/>
  <c r="H21" i="6"/>
  <c r="I21" i="6"/>
  <c r="J21" i="6"/>
  <c r="E22" i="6"/>
  <c r="G22" i="6"/>
  <c r="H22" i="6"/>
  <c r="I22" i="6"/>
  <c r="J22" i="6"/>
  <c r="E23" i="6"/>
  <c r="G23" i="6"/>
  <c r="H23" i="6"/>
  <c r="I23" i="6"/>
  <c r="J23" i="6"/>
  <c r="E24" i="6"/>
  <c r="G24" i="6"/>
  <c r="H24" i="6"/>
  <c r="I24" i="6"/>
  <c r="J24" i="6"/>
  <c r="E25" i="6"/>
  <c r="G25" i="6"/>
  <c r="H25" i="6"/>
  <c r="I25" i="6"/>
  <c r="J25" i="6"/>
  <c r="E26" i="6"/>
  <c r="G26" i="6"/>
  <c r="H26" i="6"/>
  <c r="I26" i="6"/>
  <c r="J26" i="6"/>
  <c r="E27" i="6"/>
  <c r="G27" i="6"/>
  <c r="H27" i="6"/>
  <c r="I27" i="6"/>
  <c r="J27" i="6"/>
  <c r="E28" i="6"/>
  <c r="G28" i="6"/>
  <c r="H28" i="6"/>
  <c r="I28" i="6"/>
  <c r="J28" i="6"/>
  <c r="E29" i="6"/>
  <c r="G29" i="6"/>
  <c r="H29" i="6"/>
  <c r="I29" i="6"/>
  <c r="J29" i="6"/>
  <c r="E30" i="6"/>
  <c r="G30" i="6"/>
  <c r="H30" i="6"/>
  <c r="I30" i="6"/>
  <c r="J30" i="6"/>
  <c r="E31" i="6"/>
  <c r="G31" i="6"/>
  <c r="H31" i="6"/>
  <c r="I31" i="6"/>
  <c r="J31" i="6"/>
  <c r="E32" i="6"/>
  <c r="G32" i="6"/>
  <c r="H32" i="6"/>
  <c r="I32" i="6"/>
  <c r="J32" i="6"/>
  <c r="E33" i="6"/>
  <c r="G33" i="6"/>
  <c r="H33" i="6"/>
  <c r="I33" i="6"/>
  <c r="J33" i="6"/>
  <c r="E34" i="6"/>
  <c r="G34" i="6"/>
  <c r="H34" i="6"/>
  <c r="I34" i="6"/>
  <c r="J34" i="6"/>
  <c r="E35" i="6"/>
  <c r="G35" i="6"/>
  <c r="H35" i="6"/>
  <c r="I35" i="6"/>
  <c r="J35" i="6"/>
  <c r="E36" i="6"/>
  <c r="G36" i="6"/>
  <c r="H36" i="6"/>
  <c r="I36" i="6"/>
  <c r="J36" i="6"/>
  <c r="E37" i="6"/>
  <c r="G37" i="6"/>
  <c r="H37" i="6"/>
  <c r="I37" i="6"/>
  <c r="J37" i="6"/>
  <c r="E38" i="6"/>
  <c r="G38" i="6"/>
  <c r="H38" i="6"/>
  <c r="I38" i="6"/>
  <c r="J38" i="6"/>
  <c r="E39" i="6"/>
  <c r="G39" i="6"/>
  <c r="H39" i="6"/>
  <c r="I39" i="6"/>
  <c r="J39" i="6"/>
  <c r="E40" i="6"/>
  <c r="G40" i="6"/>
  <c r="H40" i="6"/>
  <c r="I40" i="6"/>
  <c r="J40" i="6"/>
  <c r="E41" i="6"/>
  <c r="G41" i="6"/>
  <c r="H41" i="6"/>
  <c r="I41" i="6"/>
  <c r="J41" i="6"/>
  <c r="E42" i="6"/>
  <c r="G42" i="6"/>
  <c r="H42" i="6"/>
  <c r="I42" i="6"/>
  <c r="J42" i="6"/>
  <c r="E43" i="6"/>
  <c r="G43" i="6"/>
  <c r="H43" i="6"/>
  <c r="I43" i="6"/>
  <c r="J43" i="6"/>
  <c r="E44" i="6"/>
  <c r="G44" i="6"/>
  <c r="H44" i="6"/>
  <c r="I44" i="6"/>
  <c r="J44" i="6"/>
  <c r="E45" i="6"/>
  <c r="G45" i="6"/>
  <c r="H45" i="6"/>
  <c r="I45" i="6"/>
  <c r="J45" i="6"/>
  <c r="E46" i="6"/>
  <c r="G46" i="6"/>
  <c r="H46" i="6"/>
  <c r="I46" i="6"/>
  <c r="J46" i="6"/>
  <c r="E47" i="6"/>
  <c r="G47" i="6"/>
  <c r="H47" i="6"/>
  <c r="I47" i="6"/>
  <c r="J47" i="6"/>
  <c r="E48" i="6"/>
  <c r="G48" i="6"/>
  <c r="H48" i="6"/>
  <c r="I48" i="6"/>
  <c r="J48" i="6"/>
  <c r="E49" i="6"/>
  <c r="G49" i="6"/>
  <c r="H49" i="6"/>
  <c r="I49" i="6"/>
  <c r="J49" i="6"/>
  <c r="E50" i="6"/>
  <c r="G50" i="6"/>
  <c r="H50" i="6"/>
  <c r="I50" i="6"/>
  <c r="J50" i="6"/>
  <c r="E51" i="6"/>
  <c r="G51" i="6"/>
  <c r="H51" i="6"/>
  <c r="I51" i="6"/>
  <c r="J51" i="6"/>
  <c r="E52" i="6"/>
  <c r="G52" i="6"/>
  <c r="H52" i="6"/>
  <c r="I52" i="6"/>
  <c r="J52" i="6"/>
  <c r="E53" i="6"/>
  <c r="G53" i="6"/>
  <c r="H53" i="6"/>
  <c r="I53" i="6"/>
  <c r="J53" i="6"/>
  <c r="E54" i="6"/>
  <c r="G54" i="6"/>
  <c r="H54" i="6"/>
  <c r="I54" i="6"/>
  <c r="J54" i="6"/>
  <c r="E55" i="6"/>
  <c r="G55" i="6"/>
  <c r="H55" i="6"/>
  <c r="I55" i="6"/>
  <c r="J55" i="6"/>
  <c r="E56" i="6"/>
  <c r="G56" i="6"/>
  <c r="H56" i="6"/>
  <c r="I56" i="6"/>
  <c r="J56" i="6"/>
  <c r="E57" i="6"/>
  <c r="G57" i="6"/>
  <c r="H57" i="6"/>
  <c r="I57" i="6"/>
  <c r="J57" i="6"/>
  <c r="E58" i="6"/>
  <c r="G58" i="6"/>
  <c r="H58" i="6"/>
  <c r="I58" i="6"/>
  <c r="J58" i="6"/>
  <c r="E59" i="6"/>
  <c r="G59" i="6"/>
  <c r="H59" i="6"/>
  <c r="I59" i="6"/>
  <c r="J59" i="6"/>
  <c r="G4" i="6"/>
  <c r="H4" i="6"/>
  <c r="I4" i="6"/>
  <c r="J4" i="6"/>
  <c r="E4" i="6"/>
  <c r="M59" i="7"/>
  <c r="R59" i="7"/>
  <c r="I146" i="1" s="1"/>
  <c r="W4" i="7"/>
  <c r="W5" i="7"/>
  <c r="W6" i="7"/>
  <c r="W7" i="7"/>
  <c r="W8" i="7"/>
  <c r="W9" i="7"/>
  <c r="W10" i="7"/>
  <c r="W11" i="7"/>
  <c r="W12" i="7"/>
  <c r="W13" i="7"/>
  <c r="W14" i="7"/>
  <c r="W15" i="7"/>
  <c r="W16" i="7"/>
  <c r="W17" i="7"/>
  <c r="W18" i="7"/>
  <c r="W19" i="7"/>
  <c r="W20" i="7"/>
  <c r="W21" i="7"/>
  <c r="W22" i="7"/>
  <c r="W23" i="7"/>
  <c r="W24" i="7"/>
  <c r="W25" i="7"/>
  <c r="W26" i="7"/>
  <c r="W27" i="7"/>
  <c r="W28" i="7"/>
  <c r="W29" i="7"/>
  <c r="W30" i="7"/>
  <c r="W31" i="7"/>
  <c r="W32" i="7"/>
  <c r="W33" i="7"/>
  <c r="W34" i="7"/>
  <c r="W35" i="7"/>
  <c r="W36" i="7"/>
  <c r="W37" i="7"/>
  <c r="W38" i="7"/>
  <c r="W39" i="7"/>
  <c r="W40" i="7"/>
  <c r="W41" i="7"/>
  <c r="W42" i="7"/>
  <c r="W43" i="7"/>
  <c r="W44" i="7"/>
  <c r="W45" i="7"/>
  <c r="W46" i="7"/>
  <c r="W47" i="7"/>
  <c r="W48" i="7"/>
  <c r="W49" i="7"/>
  <c r="W50" i="7"/>
  <c r="W51" i="7"/>
  <c r="W52" i="7"/>
  <c r="W53" i="7"/>
  <c r="W54" i="7"/>
  <c r="W3" i="7"/>
  <c r="N55" i="7"/>
  <c r="O55" i="7"/>
  <c r="N56" i="7"/>
  <c r="O56" i="7"/>
  <c r="N57" i="7"/>
  <c r="O57" i="7"/>
  <c r="N58" i="7"/>
  <c r="O58" i="7"/>
  <c r="K59" i="7"/>
  <c r="H165" i="1" s="1"/>
  <c r="G58" i="7"/>
  <c r="H58" i="7" s="1"/>
  <c r="G57" i="7"/>
  <c r="G56" i="7"/>
  <c r="G55" i="7"/>
  <c r="H55" i="7" s="1"/>
  <c r="C59" i="7"/>
  <c r="J129" i="1" s="1"/>
  <c r="K129" i="1" s="1"/>
  <c r="F37" i="1"/>
  <c r="E30" i="1"/>
  <c r="F30" i="1"/>
  <c r="CM56" i="6"/>
  <c r="DL56" i="6" s="1"/>
  <c r="CN56" i="6"/>
  <c r="CO56" i="6" s="1"/>
  <c r="CM57" i="6"/>
  <c r="DL57" i="6" s="1"/>
  <c r="CN57" i="6"/>
  <c r="CO57" i="6" s="1"/>
  <c r="CM58" i="6"/>
  <c r="DL58" i="6" s="1"/>
  <c r="CN58" i="6"/>
  <c r="CO58" i="6" s="1"/>
  <c r="CM59" i="6"/>
  <c r="DL59" i="6" s="1"/>
  <c r="CN59" i="6"/>
  <c r="CO59" i="6" s="1"/>
  <c r="BS56" i="6"/>
  <c r="BT56" i="6" s="1"/>
  <c r="BS57" i="6"/>
  <c r="BT57" i="6" s="1"/>
  <c r="BS58" i="6"/>
  <c r="BU58" i="6" s="1"/>
  <c r="BS59" i="6"/>
  <c r="BT59" i="6" s="1"/>
  <c r="AX56" i="6"/>
  <c r="AX57" i="6"/>
  <c r="AX58" i="6"/>
  <c r="AX59" i="6"/>
  <c r="AG56" i="6"/>
  <c r="AH56" i="6" s="1"/>
  <c r="AG57" i="6"/>
  <c r="AH57" i="6" s="1"/>
  <c r="AG58" i="6"/>
  <c r="AH58" i="6" s="1"/>
  <c r="AG59" i="6"/>
  <c r="BF59" i="6" s="1"/>
  <c r="L56" i="6"/>
  <c r="M56" i="6" s="1"/>
  <c r="L57" i="6"/>
  <c r="M57" i="6" s="1"/>
  <c r="L58" i="6"/>
  <c r="N58" i="6" s="1"/>
  <c r="L59" i="6"/>
  <c r="M59" i="6" s="1"/>
  <c r="AF56" i="6"/>
  <c r="BE56" i="6" s="1"/>
  <c r="AF57" i="6"/>
  <c r="BE57" i="6" s="1"/>
  <c r="AF58" i="6"/>
  <c r="BE58" i="6" s="1"/>
  <c r="AF59" i="6"/>
  <c r="K56" i="6"/>
  <c r="K57" i="6"/>
  <c r="K58" i="6"/>
  <c r="K59" i="6"/>
  <c r="DD59" i="6"/>
  <c r="DC59" i="6"/>
  <c r="DB59" i="6"/>
  <c r="DA59" i="6"/>
  <c r="CZ59" i="6"/>
  <c r="DG59" i="6" s="1"/>
  <c r="AW59" i="6"/>
  <c r="AV59" i="6"/>
  <c r="AU59" i="6"/>
  <c r="AT59" i="6"/>
  <c r="AS59" i="6"/>
  <c r="DD58" i="6"/>
  <c r="DC58" i="6"/>
  <c r="DB58" i="6"/>
  <c r="DA58" i="6"/>
  <c r="CZ58" i="6"/>
  <c r="AW58" i="6"/>
  <c r="AV58" i="6"/>
  <c r="AU58" i="6"/>
  <c r="AT58" i="6"/>
  <c r="AS58" i="6"/>
  <c r="DD57" i="6"/>
  <c r="DC57" i="6"/>
  <c r="DB57" i="6"/>
  <c r="DA57" i="6"/>
  <c r="CZ57" i="6"/>
  <c r="AW57" i="6"/>
  <c r="AV57" i="6"/>
  <c r="AU57" i="6"/>
  <c r="AT57" i="6"/>
  <c r="AS57" i="6"/>
  <c r="DD56" i="6"/>
  <c r="DC56" i="6"/>
  <c r="DB56" i="6"/>
  <c r="DA56" i="6"/>
  <c r="CZ56" i="6"/>
  <c r="DG56" i="6" s="1"/>
  <c r="AW56" i="6"/>
  <c r="AV56" i="6"/>
  <c r="AU56" i="6"/>
  <c r="AT56" i="6"/>
  <c r="AS56" i="6"/>
  <c r="R5" i="2"/>
  <c r="W59" i="7" l="1"/>
  <c r="H146" i="1"/>
  <c r="S60" i="6"/>
  <c r="G146" i="1"/>
  <c r="F60" i="6"/>
  <c r="E50" i="1" s="1"/>
  <c r="DG57" i="6"/>
  <c r="AA60" i="6"/>
  <c r="AZ59" i="6"/>
  <c r="BZ60" i="6"/>
  <c r="BM60" i="6"/>
  <c r="DG58" i="6"/>
  <c r="AZ57" i="6"/>
  <c r="AZ58" i="6"/>
  <c r="CH60" i="6"/>
  <c r="AZ56" i="6"/>
  <c r="Z60" i="6"/>
  <c r="DM59" i="6"/>
  <c r="DN59" i="6" s="1"/>
  <c r="BD59" i="6"/>
  <c r="AY59" i="6"/>
  <c r="BA58" i="6"/>
  <c r="BB57" i="6"/>
  <c r="BC56" i="6"/>
  <c r="BC59" i="6"/>
  <c r="BD58" i="6"/>
  <c r="AY58" i="6"/>
  <c r="BA57" i="6"/>
  <c r="BB56" i="6"/>
  <c r="N59" i="6"/>
  <c r="N56" i="6"/>
  <c r="BB59" i="6"/>
  <c r="BC58" i="6"/>
  <c r="BD57" i="6"/>
  <c r="AY57" i="6"/>
  <c r="BA56" i="6"/>
  <c r="BA59" i="6"/>
  <c r="BB58" i="6"/>
  <c r="BC57" i="6"/>
  <c r="BD56" i="6"/>
  <c r="AY56" i="6"/>
  <c r="DK59" i="6"/>
  <c r="DF59" i="6"/>
  <c r="DH58" i="6"/>
  <c r="DI57" i="6"/>
  <c r="DJ56" i="6"/>
  <c r="DJ59" i="6"/>
  <c r="DK58" i="6"/>
  <c r="DF58" i="6"/>
  <c r="DH57" i="6"/>
  <c r="DI56" i="6"/>
  <c r="DI59" i="6"/>
  <c r="DJ58" i="6"/>
  <c r="DK57" i="6"/>
  <c r="DF57" i="6"/>
  <c r="DH56" i="6"/>
  <c r="DH59" i="6"/>
  <c r="DI58" i="6"/>
  <c r="DJ57" i="6"/>
  <c r="DK56" i="6"/>
  <c r="DF56" i="6"/>
  <c r="DM58" i="6"/>
  <c r="DN58" i="6" s="1"/>
  <c r="CP59" i="6"/>
  <c r="AC60" i="6"/>
  <c r="AI58" i="6"/>
  <c r="BU59" i="6"/>
  <c r="BR59" i="6" s="1"/>
  <c r="BU56" i="6"/>
  <c r="BR56" i="6" s="1"/>
  <c r="AH59" i="6"/>
  <c r="BF57" i="6"/>
  <c r="BG57" i="6" s="1"/>
  <c r="BG59" i="6"/>
  <c r="BH59" i="6"/>
  <c r="BF58" i="6"/>
  <c r="BF56" i="6"/>
  <c r="BT58" i="6"/>
  <c r="BR58" i="6" s="1"/>
  <c r="DM56" i="6"/>
  <c r="BE59" i="6"/>
  <c r="CP56" i="6"/>
  <c r="AD60" i="6"/>
  <c r="AE60" i="6"/>
  <c r="AB60" i="6"/>
  <c r="M58" i="6"/>
  <c r="AI59" i="6"/>
  <c r="H171" i="1"/>
  <c r="I171" i="1"/>
  <c r="G165" i="1"/>
  <c r="G171" i="1"/>
  <c r="DM57" i="6"/>
  <c r="DN57" i="6" s="1"/>
  <c r="CP58" i="6"/>
  <c r="CP57" i="6"/>
  <c r="BU57" i="6"/>
  <c r="AI56" i="6"/>
  <c r="AI57" i="6"/>
  <c r="N57" i="6"/>
  <c r="E88" i="1" l="1"/>
  <c r="E36" i="1"/>
  <c r="E74" i="1"/>
  <c r="DO59" i="6"/>
  <c r="BH57" i="6"/>
  <c r="DO58" i="6"/>
  <c r="DO57" i="6"/>
  <c r="BH56" i="6"/>
  <c r="BG56" i="6"/>
  <c r="BH58" i="6"/>
  <c r="BG58" i="6"/>
  <c r="DO56" i="6"/>
  <c r="DN56" i="6"/>
  <c r="BR57" i="6"/>
  <c r="H33" i="4" l="1"/>
  <c r="R22" i="10" l="1"/>
  <c r="Q33" i="10"/>
  <c r="Q32" i="10"/>
  <c r="Q31" i="10"/>
  <c r="Q29" i="10"/>
  <c r="Q22" i="10"/>
  <c r="Q20" i="10"/>
  <c r="Q19" i="10"/>
  <c r="G47" i="8" l="1"/>
  <c r="G40" i="8"/>
  <c r="G41" i="8"/>
  <c r="G42" i="8"/>
  <c r="G43" i="8"/>
  <c r="G44" i="8"/>
  <c r="G45" i="8"/>
  <c r="G46" i="8"/>
  <c r="G39" i="8"/>
  <c r="G31" i="8"/>
  <c r="G56" i="8" l="1"/>
  <c r="G72" i="8" s="1"/>
  <c r="G57" i="8"/>
  <c r="G73" i="8" s="1"/>
  <c r="G58" i="8"/>
  <c r="G74" i="8" s="1"/>
  <c r="G59" i="8"/>
  <c r="G75" i="8" s="1"/>
  <c r="G60" i="8"/>
  <c r="G76" i="8" s="1"/>
  <c r="G61" i="8"/>
  <c r="G77" i="8" s="1"/>
  <c r="G62" i="8"/>
  <c r="G78" i="8" s="1"/>
  <c r="G63" i="8"/>
  <c r="G79" i="8" s="1"/>
  <c r="G48" i="8"/>
  <c r="G64" i="8" s="1"/>
  <c r="G80" i="8" s="1"/>
  <c r="G49" i="8"/>
  <c r="G55" i="8" l="1"/>
  <c r="G71" i="8" s="1"/>
  <c r="G81" i="8" s="1"/>
  <c r="G83" i="8" s="1"/>
  <c r="K130" i="1" l="1"/>
  <c r="K90" i="1"/>
  <c r="K210" i="1" l="1"/>
  <c r="K208" i="1"/>
  <c r="R34" i="10" s="1"/>
  <c r="K202" i="1"/>
  <c r="K201" i="1"/>
  <c r="R33" i="10" s="1"/>
  <c r="K196" i="1"/>
  <c r="K195" i="1"/>
  <c r="R32" i="10" s="1"/>
  <c r="K190" i="1"/>
  <c r="K189" i="1"/>
  <c r="R31" i="10" s="1"/>
  <c r="K178" i="1"/>
  <c r="K177" i="1"/>
  <c r="R29" i="10" s="1"/>
  <c r="K172" i="1"/>
  <c r="K166" i="1"/>
  <c r="K153" i="1"/>
  <c r="K147" i="1"/>
  <c r="K131" i="1"/>
  <c r="K111" i="1"/>
  <c r="R19" i="10" s="1"/>
  <c r="K117" i="1"/>
  <c r="R20" i="10" s="1"/>
  <c r="K118" i="1"/>
  <c r="K112" i="1"/>
  <c r="K97" i="1"/>
  <c r="K83" i="1"/>
  <c r="K76" i="1"/>
  <c r="K62" i="1"/>
  <c r="K52" i="1"/>
  <c r="K45" i="1"/>
  <c r="K38" i="1"/>
  <c r="G91" i="8"/>
  <c r="G92" i="8"/>
  <c r="G93" i="8"/>
  <c r="G94" i="8"/>
  <c r="G95" i="8"/>
  <c r="G96" i="8"/>
  <c r="G97" i="8"/>
  <c r="G98" i="8"/>
  <c r="G99" i="8"/>
  <c r="G100" i="8"/>
  <c r="B104" i="8"/>
  <c r="C104" i="8" s="1"/>
  <c r="F48" i="8"/>
  <c r="F64" i="8" s="1"/>
  <c r="E48" i="8"/>
  <c r="E64" i="8" s="1"/>
  <c r="D48" i="8"/>
  <c r="D64" i="8" s="1"/>
  <c r="C48" i="8"/>
  <c r="C64" i="8" s="1"/>
  <c r="B48" i="8"/>
  <c r="B64" i="8" s="1"/>
  <c r="F47" i="8"/>
  <c r="F63" i="8" s="1"/>
  <c r="E47" i="8"/>
  <c r="E63" i="8" s="1"/>
  <c r="D47" i="8"/>
  <c r="D63" i="8" s="1"/>
  <c r="C47" i="8"/>
  <c r="C63" i="8" s="1"/>
  <c r="B47" i="8"/>
  <c r="B63" i="8" s="1"/>
  <c r="F46" i="8"/>
  <c r="F62" i="8" s="1"/>
  <c r="E46" i="8"/>
  <c r="E62" i="8" s="1"/>
  <c r="D46" i="8"/>
  <c r="D62" i="8" s="1"/>
  <c r="C46" i="8"/>
  <c r="C62" i="8" s="1"/>
  <c r="B46" i="8"/>
  <c r="B62" i="8" s="1"/>
  <c r="F45" i="8"/>
  <c r="F61" i="8" s="1"/>
  <c r="E45" i="8"/>
  <c r="E61" i="8" s="1"/>
  <c r="D45" i="8"/>
  <c r="D61" i="8" s="1"/>
  <c r="C45" i="8"/>
  <c r="C61" i="8" s="1"/>
  <c r="B45" i="8"/>
  <c r="B61" i="8" s="1"/>
  <c r="F44" i="8"/>
  <c r="F60" i="8" s="1"/>
  <c r="E44" i="8"/>
  <c r="E60" i="8" s="1"/>
  <c r="D44" i="8"/>
  <c r="D60" i="8" s="1"/>
  <c r="C44" i="8"/>
  <c r="C60" i="8" s="1"/>
  <c r="B44" i="8"/>
  <c r="B60" i="8" s="1"/>
  <c r="F43" i="8"/>
  <c r="F59" i="8" s="1"/>
  <c r="E43" i="8"/>
  <c r="E59" i="8" s="1"/>
  <c r="D43" i="8"/>
  <c r="D59" i="8" s="1"/>
  <c r="C43" i="8"/>
  <c r="C59" i="8" s="1"/>
  <c r="B43" i="8"/>
  <c r="B59" i="8" s="1"/>
  <c r="F42" i="8"/>
  <c r="F58" i="8" s="1"/>
  <c r="E42" i="8"/>
  <c r="E58" i="8" s="1"/>
  <c r="D42" i="8"/>
  <c r="D58" i="8" s="1"/>
  <c r="C42" i="8"/>
  <c r="C58" i="8" s="1"/>
  <c r="B42" i="8"/>
  <c r="B58" i="8" s="1"/>
  <c r="F41" i="8"/>
  <c r="F57" i="8" s="1"/>
  <c r="E41" i="8"/>
  <c r="E57" i="8" s="1"/>
  <c r="D41" i="8"/>
  <c r="D57" i="8" s="1"/>
  <c r="C41" i="8"/>
  <c r="C57" i="8" s="1"/>
  <c r="B41" i="8"/>
  <c r="B57" i="8" s="1"/>
  <c r="F40" i="8"/>
  <c r="F56" i="8" s="1"/>
  <c r="E40" i="8"/>
  <c r="E56" i="8" s="1"/>
  <c r="D40" i="8"/>
  <c r="D56" i="8" s="1"/>
  <c r="C40" i="8"/>
  <c r="C56" i="8" s="1"/>
  <c r="B40" i="8"/>
  <c r="B56" i="8" s="1"/>
  <c r="F39" i="8"/>
  <c r="E39" i="8"/>
  <c r="E55" i="8" s="1"/>
  <c r="D39" i="8"/>
  <c r="C39" i="8"/>
  <c r="C55" i="8" s="1"/>
  <c r="B39" i="8"/>
  <c r="B55" i="8" s="1"/>
  <c r="F31" i="8"/>
  <c r="E31" i="8"/>
  <c r="D31" i="8"/>
  <c r="C31" i="8"/>
  <c r="B31" i="8"/>
  <c r="C17" i="8"/>
  <c r="C16" i="8"/>
  <c r="C15" i="8"/>
  <c r="C14" i="8"/>
  <c r="C13" i="8"/>
  <c r="C12" i="8"/>
  <c r="C11" i="8"/>
  <c r="C10" i="8"/>
  <c r="C9" i="8"/>
  <c r="C8" i="8"/>
  <c r="F55" i="8" l="1"/>
  <c r="F91" i="8" s="1"/>
  <c r="F49" i="8"/>
  <c r="G101" i="8"/>
  <c r="G103" i="8" s="1"/>
  <c r="J30" i="1" s="1"/>
  <c r="D49" i="8"/>
  <c r="C92" i="8"/>
  <c r="C72" i="8"/>
  <c r="B93" i="8"/>
  <c r="B73" i="8"/>
  <c r="F93" i="8"/>
  <c r="F73" i="8"/>
  <c r="E94" i="8"/>
  <c r="E74" i="8"/>
  <c r="D95" i="8"/>
  <c r="D75" i="8"/>
  <c r="C96" i="8"/>
  <c r="C76" i="8"/>
  <c r="B97" i="8"/>
  <c r="B77" i="8"/>
  <c r="F97" i="8"/>
  <c r="F77" i="8"/>
  <c r="E98" i="8"/>
  <c r="E78" i="8"/>
  <c r="D99" i="8"/>
  <c r="D79" i="8"/>
  <c r="C100" i="8"/>
  <c r="C80" i="8"/>
  <c r="E71" i="8"/>
  <c r="E91" i="8"/>
  <c r="D72" i="8"/>
  <c r="D92" i="8"/>
  <c r="C73" i="8"/>
  <c r="C93" i="8"/>
  <c r="B74" i="8"/>
  <c r="B94" i="8"/>
  <c r="F74" i="8"/>
  <c r="F94" i="8"/>
  <c r="E75" i="8"/>
  <c r="E95" i="8"/>
  <c r="D76" i="8"/>
  <c r="D96" i="8"/>
  <c r="C77" i="8"/>
  <c r="C97" i="8"/>
  <c r="B78" i="8"/>
  <c r="B98" i="8"/>
  <c r="F78" i="8"/>
  <c r="F98" i="8"/>
  <c r="E79" i="8"/>
  <c r="E99" i="8"/>
  <c r="D80" i="8"/>
  <c r="D100" i="8"/>
  <c r="B91" i="8"/>
  <c r="B71" i="8"/>
  <c r="F71" i="8"/>
  <c r="E92" i="8"/>
  <c r="E72" i="8"/>
  <c r="D93" i="8"/>
  <c r="D73" i="8"/>
  <c r="C94" i="8"/>
  <c r="C74" i="8"/>
  <c r="B95" i="8"/>
  <c r="B75" i="8"/>
  <c r="F95" i="8"/>
  <c r="F75" i="8"/>
  <c r="E96" i="8"/>
  <c r="E76" i="8"/>
  <c r="D97" i="8"/>
  <c r="D77" i="8"/>
  <c r="C98" i="8"/>
  <c r="C78" i="8"/>
  <c r="B99" i="8"/>
  <c r="B79" i="8"/>
  <c r="F99" i="8"/>
  <c r="F79" i="8"/>
  <c r="E100" i="8"/>
  <c r="E80" i="8"/>
  <c r="C91" i="8"/>
  <c r="C71" i="8"/>
  <c r="B92" i="8"/>
  <c r="B72" i="8"/>
  <c r="F92" i="8"/>
  <c r="F72" i="8"/>
  <c r="E93" i="8"/>
  <c r="E73" i="8"/>
  <c r="D94" i="8"/>
  <c r="D74" i="8"/>
  <c r="C95" i="8"/>
  <c r="C75" i="8"/>
  <c r="B96" i="8"/>
  <c r="B76" i="8"/>
  <c r="F96" i="8"/>
  <c r="F76" i="8"/>
  <c r="E97" i="8"/>
  <c r="E77" i="8"/>
  <c r="D98" i="8"/>
  <c r="D78" i="8"/>
  <c r="C99" i="8"/>
  <c r="C79" i="8"/>
  <c r="B100" i="8"/>
  <c r="B80" i="8"/>
  <c r="F100" i="8"/>
  <c r="F80" i="8"/>
  <c r="E49" i="8"/>
  <c r="D55" i="8"/>
  <c r="B49" i="8"/>
  <c r="C49" i="8"/>
  <c r="I104" i="1"/>
  <c r="I44" i="4" s="1"/>
  <c r="G61" i="1"/>
  <c r="G60" i="1"/>
  <c r="K30" i="1" l="1"/>
  <c r="R8" i="10" s="1"/>
  <c r="Q8" i="10"/>
  <c r="B101" i="8"/>
  <c r="E81" i="8"/>
  <c r="E83" i="8" s="1"/>
  <c r="C81" i="8"/>
  <c r="C83" i="8" s="1"/>
  <c r="F81" i="8"/>
  <c r="F83" i="8" s="1"/>
  <c r="C101" i="8"/>
  <c r="F101" i="8"/>
  <c r="F103" i="8" s="1"/>
  <c r="I30" i="1" s="1"/>
  <c r="D91" i="8"/>
  <c r="D101" i="8" s="1"/>
  <c r="D103" i="8" s="1"/>
  <c r="D71" i="8"/>
  <c r="D81" i="8" s="1"/>
  <c r="D83" i="8" s="1"/>
  <c r="B81" i="8"/>
  <c r="B83" i="8" s="1"/>
  <c r="B84" i="8" s="1"/>
  <c r="E101" i="8"/>
  <c r="E103" i="8" s="1"/>
  <c r="H30" i="1" s="1"/>
  <c r="I103" i="1"/>
  <c r="I107" i="1" s="1"/>
  <c r="D104" i="8" l="1"/>
  <c r="G30" i="1"/>
  <c r="C84" i="8"/>
  <c r="D84" i="8"/>
  <c r="E84" i="8" s="1"/>
  <c r="F84" i="8" s="1"/>
  <c r="G84" i="8" s="1"/>
  <c r="E104" i="8"/>
  <c r="F104" i="8" s="1"/>
  <c r="G104" i="8" s="1"/>
  <c r="AC4" i="7" l="1"/>
  <c r="AC5" i="7"/>
  <c r="AC6" i="7"/>
  <c r="AC7" i="7"/>
  <c r="AC8" i="7"/>
  <c r="AC9" i="7"/>
  <c r="AC10" i="7"/>
  <c r="AC11" i="7"/>
  <c r="AC12" i="7"/>
  <c r="AC13" i="7"/>
  <c r="AC14" i="7"/>
  <c r="AC15" i="7"/>
  <c r="AC16" i="7"/>
  <c r="AC17" i="7"/>
  <c r="AC18" i="7"/>
  <c r="AC19" i="7"/>
  <c r="AC20" i="7"/>
  <c r="AC21" i="7"/>
  <c r="AC22" i="7"/>
  <c r="AC23" i="7"/>
  <c r="AC24" i="7"/>
  <c r="AC25" i="7"/>
  <c r="AC26" i="7"/>
  <c r="AC27" i="7"/>
  <c r="AC28" i="7"/>
  <c r="AC29" i="7"/>
  <c r="AC30" i="7"/>
  <c r="AC31" i="7"/>
  <c r="AC32" i="7"/>
  <c r="AC33" i="7"/>
  <c r="AC34" i="7"/>
  <c r="AC35" i="7"/>
  <c r="AC36" i="7"/>
  <c r="AC37" i="7"/>
  <c r="AC38" i="7"/>
  <c r="AC39" i="7"/>
  <c r="AC40" i="7"/>
  <c r="AC41" i="7"/>
  <c r="AC42" i="7"/>
  <c r="AC43" i="7"/>
  <c r="AC44" i="7"/>
  <c r="AC45" i="7"/>
  <c r="AC46" i="7"/>
  <c r="AC47" i="7"/>
  <c r="AC48" i="7"/>
  <c r="AC49" i="7"/>
  <c r="AC50" i="7"/>
  <c r="AC51" i="7"/>
  <c r="AD54" i="7"/>
  <c r="AC3" i="7"/>
  <c r="AD52" i="7"/>
  <c r="AD53" i="7"/>
  <c r="AB4" i="7"/>
  <c r="AD4" i="7" s="1"/>
  <c r="AB5" i="7"/>
  <c r="AD5" i="7" s="1"/>
  <c r="AB6" i="7"/>
  <c r="AD6" i="7" s="1"/>
  <c r="AB7" i="7"/>
  <c r="AD7" i="7" s="1"/>
  <c r="AB8" i="7"/>
  <c r="AD8" i="7" s="1"/>
  <c r="AB9" i="7"/>
  <c r="AD9" i="7" s="1"/>
  <c r="AB10" i="7"/>
  <c r="AD10" i="7" s="1"/>
  <c r="AB11" i="7"/>
  <c r="AD11" i="7" s="1"/>
  <c r="AB12" i="7"/>
  <c r="AD12" i="7" s="1"/>
  <c r="AB13" i="7"/>
  <c r="AD13" i="7" s="1"/>
  <c r="AB14" i="7"/>
  <c r="AD14" i="7" s="1"/>
  <c r="AB15" i="7"/>
  <c r="AD15" i="7" s="1"/>
  <c r="AB16" i="7"/>
  <c r="AD16" i="7" s="1"/>
  <c r="AB17" i="7"/>
  <c r="AD17" i="7" s="1"/>
  <c r="AB18" i="7"/>
  <c r="AD18" i="7" s="1"/>
  <c r="AB19" i="7"/>
  <c r="AD19" i="7" s="1"/>
  <c r="AB20" i="7"/>
  <c r="AD20" i="7" s="1"/>
  <c r="AB21" i="7"/>
  <c r="AD21" i="7" s="1"/>
  <c r="AB22" i="7"/>
  <c r="AD22" i="7" s="1"/>
  <c r="AB23" i="7"/>
  <c r="AD23" i="7" s="1"/>
  <c r="AB24" i="7"/>
  <c r="AD24" i="7" s="1"/>
  <c r="AB25" i="7"/>
  <c r="AD25" i="7" s="1"/>
  <c r="AB26" i="7"/>
  <c r="AD26" i="7" s="1"/>
  <c r="AB27" i="7"/>
  <c r="AD27" i="7" s="1"/>
  <c r="AB28" i="7"/>
  <c r="AB29" i="7"/>
  <c r="AD29" i="7" s="1"/>
  <c r="AB30" i="7"/>
  <c r="AB31" i="7"/>
  <c r="AD31" i="7" s="1"/>
  <c r="AB32" i="7"/>
  <c r="AB33" i="7"/>
  <c r="AD33" i="7" s="1"/>
  <c r="AB34" i="7"/>
  <c r="AB35" i="7"/>
  <c r="AD35" i="7" s="1"/>
  <c r="AB36" i="7"/>
  <c r="AB37" i="7"/>
  <c r="AD37" i="7" s="1"/>
  <c r="AB38" i="7"/>
  <c r="AB39" i="7"/>
  <c r="AD39" i="7" s="1"/>
  <c r="AB40" i="7"/>
  <c r="AB41" i="7"/>
  <c r="AD41" i="7" s="1"/>
  <c r="AB42" i="7"/>
  <c r="AB43" i="7"/>
  <c r="AD43" i="7" s="1"/>
  <c r="AB44" i="7"/>
  <c r="AB45" i="7"/>
  <c r="AD45" i="7" s="1"/>
  <c r="AB46" i="7"/>
  <c r="AB47" i="7"/>
  <c r="AD47" i="7" s="1"/>
  <c r="AB48" i="7"/>
  <c r="AB49" i="7"/>
  <c r="AD49" i="7" s="1"/>
  <c r="AB50" i="7"/>
  <c r="AB51" i="7"/>
  <c r="AD51" i="7" s="1"/>
  <c r="AB3" i="7"/>
  <c r="AD3" i="7" s="1"/>
  <c r="AD48" i="7" l="1"/>
  <c r="AD44" i="7"/>
  <c r="AD40" i="7"/>
  <c r="AD36" i="7"/>
  <c r="AD32" i="7"/>
  <c r="AD28" i="7"/>
  <c r="AC59" i="7"/>
  <c r="J104" i="1" s="1"/>
  <c r="AD50" i="7"/>
  <c r="AD46" i="7"/>
  <c r="AD42" i="7"/>
  <c r="AD38" i="7"/>
  <c r="AD34" i="7"/>
  <c r="AD30" i="7"/>
  <c r="AB59" i="7"/>
  <c r="J105" i="1" s="1"/>
  <c r="N52" i="7"/>
  <c r="O52" i="7"/>
  <c r="N53" i="7"/>
  <c r="O53" i="7"/>
  <c r="N54" i="7"/>
  <c r="O54" i="7"/>
  <c r="N4" i="7"/>
  <c r="O4" i="7"/>
  <c r="P4" i="7"/>
  <c r="Q4" i="7"/>
  <c r="N5" i="7"/>
  <c r="O5" i="7"/>
  <c r="P5" i="7"/>
  <c r="Q5" i="7"/>
  <c r="N6" i="7"/>
  <c r="O6" i="7"/>
  <c r="P6" i="7"/>
  <c r="Q6" i="7"/>
  <c r="N7" i="7"/>
  <c r="O7" i="7"/>
  <c r="P7" i="7"/>
  <c r="Q7" i="7"/>
  <c r="N8" i="7"/>
  <c r="O8" i="7"/>
  <c r="P8" i="7"/>
  <c r="Q8" i="7"/>
  <c r="N9" i="7"/>
  <c r="O9" i="7"/>
  <c r="P9" i="7"/>
  <c r="Q9" i="7"/>
  <c r="N10" i="7"/>
  <c r="O10" i="7"/>
  <c r="P10" i="7"/>
  <c r="Q10" i="7"/>
  <c r="N11" i="7"/>
  <c r="O11" i="7"/>
  <c r="P11" i="7"/>
  <c r="Q11" i="7"/>
  <c r="N12" i="7"/>
  <c r="O12" i="7"/>
  <c r="P12" i="7"/>
  <c r="Q12" i="7"/>
  <c r="N13" i="7"/>
  <c r="O13" i="7"/>
  <c r="P13" i="7"/>
  <c r="Q13" i="7"/>
  <c r="N14" i="7"/>
  <c r="O14" i="7"/>
  <c r="P14" i="7"/>
  <c r="Q14" i="7"/>
  <c r="N15" i="7"/>
  <c r="O15" i="7"/>
  <c r="P15" i="7"/>
  <c r="Q15" i="7"/>
  <c r="N16" i="7"/>
  <c r="O16" i="7"/>
  <c r="P16" i="7"/>
  <c r="Q16" i="7"/>
  <c r="N17" i="7"/>
  <c r="O17" i="7"/>
  <c r="P17" i="7"/>
  <c r="Q17" i="7"/>
  <c r="N18" i="7"/>
  <c r="O18" i="7"/>
  <c r="P18" i="7"/>
  <c r="Q18" i="7"/>
  <c r="N19" i="7"/>
  <c r="O19" i="7"/>
  <c r="P19" i="7"/>
  <c r="Q19" i="7"/>
  <c r="N20" i="7"/>
  <c r="O20" i="7"/>
  <c r="P20" i="7"/>
  <c r="Q20" i="7"/>
  <c r="N21" i="7"/>
  <c r="O21" i="7"/>
  <c r="P21" i="7"/>
  <c r="Q21" i="7"/>
  <c r="N22" i="7"/>
  <c r="O22" i="7"/>
  <c r="P22" i="7"/>
  <c r="Q22" i="7"/>
  <c r="N23" i="7"/>
  <c r="O23" i="7"/>
  <c r="P23" i="7"/>
  <c r="Q23" i="7"/>
  <c r="N24" i="7"/>
  <c r="O24" i="7"/>
  <c r="P24" i="7"/>
  <c r="Q24" i="7"/>
  <c r="N25" i="7"/>
  <c r="O25" i="7"/>
  <c r="P25" i="7"/>
  <c r="Q25" i="7"/>
  <c r="N26" i="7"/>
  <c r="O26" i="7"/>
  <c r="P26" i="7"/>
  <c r="Q26" i="7"/>
  <c r="N27" i="7"/>
  <c r="O27" i="7"/>
  <c r="P27" i="7"/>
  <c r="Q27" i="7"/>
  <c r="N28" i="7"/>
  <c r="O28" i="7"/>
  <c r="P28" i="7"/>
  <c r="Q28" i="7"/>
  <c r="N29" i="7"/>
  <c r="O29" i="7"/>
  <c r="P29" i="7"/>
  <c r="Q29" i="7"/>
  <c r="N30" i="7"/>
  <c r="O30" i="7"/>
  <c r="P30" i="7"/>
  <c r="Q30" i="7"/>
  <c r="N31" i="7"/>
  <c r="O31" i="7"/>
  <c r="P31" i="7"/>
  <c r="Q31" i="7"/>
  <c r="N32" i="7"/>
  <c r="O32" i="7"/>
  <c r="P32" i="7"/>
  <c r="Q32" i="7"/>
  <c r="N33" i="7"/>
  <c r="O33" i="7"/>
  <c r="P33" i="7"/>
  <c r="Q33" i="7"/>
  <c r="N34" i="7"/>
  <c r="O34" i="7"/>
  <c r="P34" i="7"/>
  <c r="Q34" i="7"/>
  <c r="N35" i="7"/>
  <c r="O35" i="7"/>
  <c r="P35" i="7"/>
  <c r="Q35" i="7"/>
  <c r="N36" i="7"/>
  <c r="O36" i="7"/>
  <c r="P36" i="7"/>
  <c r="Q36" i="7"/>
  <c r="N37" i="7"/>
  <c r="O37" i="7"/>
  <c r="P37" i="7"/>
  <c r="Q37" i="7"/>
  <c r="N38" i="7"/>
  <c r="O38" i="7"/>
  <c r="P38" i="7"/>
  <c r="Q38" i="7"/>
  <c r="N39" i="7"/>
  <c r="O39" i="7"/>
  <c r="P39" i="7"/>
  <c r="Q39" i="7"/>
  <c r="N40" i="7"/>
  <c r="O40" i="7"/>
  <c r="P40" i="7"/>
  <c r="Q40" i="7"/>
  <c r="N41" i="7"/>
  <c r="O41" i="7"/>
  <c r="P41" i="7"/>
  <c r="Q41" i="7"/>
  <c r="N42" i="7"/>
  <c r="O42" i="7"/>
  <c r="P42" i="7"/>
  <c r="Q42" i="7"/>
  <c r="N43" i="7"/>
  <c r="O43" i="7"/>
  <c r="P43" i="7"/>
  <c r="Q43" i="7"/>
  <c r="N44" i="7"/>
  <c r="O44" i="7"/>
  <c r="P44" i="7"/>
  <c r="Q44" i="7"/>
  <c r="N45" i="7"/>
  <c r="O45" i="7"/>
  <c r="P45" i="7"/>
  <c r="Q45" i="7"/>
  <c r="N46" i="7"/>
  <c r="O46" i="7"/>
  <c r="P46" i="7"/>
  <c r="Q46" i="7"/>
  <c r="N47" i="7"/>
  <c r="O47" i="7"/>
  <c r="P47" i="7"/>
  <c r="Q47" i="7"/>
  <c r="N48" i="7"/>
  <c r="O48" i="7"/>
  <c r="P48" i="7"/>
  <c r="Q48" i="7"/>
  <c r="N49" i="7"/>
  <c r="O49" i="7"/>
  <c r="P49" i="7"/>
  <c r="Q49" i="7"/>
  <c r="N50" i="7"/>
  <c r="O50" i="7"/>
  <c r="P50" i="7"/>
  <c r="Q50" i="7"/>
  <c r="N51" i="7"/>
  <c r="O51" i="7"/>
  <c r="P51" i="7"/>
  <c r="Q51" i="7"/>
  <c r="O3" i="7"/>
  <c r="P3" i="7"/>
  <c r="Q3" i="7"/>
  <c r="N3" i="7"/>
  <c r="N59" i="7" s="1"/>
  <c r="G52" i="7"/>
  <c r="H52" i="7"/>
  <c r="G53" i="7"/>
  <c r="H53" i="7"/>
  <c r="G54" i="7"/>
  <c r="H54" i="7"/>
  <c r="G4" i="7"/>
  <c r="H4" i="7"/>
  <c r="I4" i="7"/>
  <c r="J4" i="7"/>
  <c r="G5" i="7"/>
  <c r="H5" i="7"/>
  <c r="I5" i="7"/>
  <c r="J5" i="7"/>
  <c r="G6" i="7"/>
  <c r="H6" i="7"/>
  <c r="I6" i="7"/>
  <c r="J6" i="7"/>
  <c r="G7" i="7"/>
  <c r="H7" i="7"/>
  <c r="I7" i="7"/>
  <c r="J7" i="7"/>
  <c r="G8" i="7"/>
  <c r="H8" i="7"/>
  <c r="I8" i="7"/>
  <c r="J8" i="7"/>
  <c r="G9" i="7"/>
  <c r="H9" i="7"/>
  <c r="I9" i="7"/>
  <c r="J9" i="7"/>
  <c r="G10" i="7"/>
  <c r="H10" i="7"/>
  <c r="I10" i="7"/>
  <c r="J10" i="7"/>
  <c r="G11" i="7"/>
  <c r="H11" i="7"/>
  <c r="I11" i="7"/>
  <c r="J11" i="7"/>
  <c r="G12" i="7"/>
  <c r="H12" i="7"/>
  <c r="I12" i="7"/>
  <c r="J12" i="7"/>
  <c r="G13" i="7"/>
  <c r="H13" i="7"/>
  <c r="I13" i="7"/>
  <c r="J13" i="7"/>
  <c r="G14" i="7"/>
  <c r="H14" i="7"/>
  <c r="I14" i="7"/>
  <c r="J14" i="7"/>
  <c r="G15" i="7"/>
  <c r="H15" i="7"/>
  <c r="I15" i="7"/>
  <c r="J15" i="7"/>
  <c r="G16" i="7"/>
  <c r="H16" i="7"/>
  <c r="I16" i="7"/>
  <c r="J16" i="7"/>
  <c r="G17" i="7"/>
  <c r="H17" i="7"/>
  <c r="I17" i="7"/>
  <c r="J17" i="7"/>
  <c r="G18" i="7"/>
  <c r="H18" i="7"/>
  <c r="I18" i="7"/>
  <c r="J18" i="7"/>
  <c r="G19" i="7"/>
  <c r="H19" i="7"/>
  <c r="I19" i="7"/>
  <c r="J19" i="7"/>
  <c r="G20" i="7"/>
  <c r="H20" i="7"/>
  <c r="I20" i="7"/>
  <c r="J20" i="7"/>
  <c r="G21" i="7"/>
  <c r="H21" i="7"/>
  <c r="I21" i="7"/>
  <c r="J21" i="7"/>
  <c r="G22" i="7"/>
  <c r="H22" i="7"/>
  <c r="I22" i="7"/>
  <c r="J22" i="7"/>
  <c r="G23" i="7"/>
  <c r="H23" i="7"/>
  <c r="I23" i="7"/>
  <c r="J23" i="7"/>
  <c r="G24" i="7"/>
  <c r="H24" i="7"/>
  <c r="I24" i="7"/>
  <c r="J24" i="7"/>
  <c r="G25" i="7"/>
  <c r="H25" i="7"/>
  <c r="I25" i="7"/>
  <c r="J25" i="7"/>
  <c r="G26" i="7"/>
  <c r="H26" i="7"/>
  <c r="I26" i="7"/>
  <c r="J26" i="7"/>
  <c r="G27" i="7"/>
  <c r="H27" i="7"/>
  <c r="I27" i="7"/>
  <c r="J27" i="7"/>
  <c r="G28" i="7"/>
  <c r="H28" i="7"/>
  <c r="I28" i="7"/>
  <c r="J28" i="7"/>
  <c r="G29" i="7"/>
  <c r="H29" i="7"/>
  <c r="I29" i="7"/>
  <c r="J29" i="7"/>
  <c r="G30" i="7"/>
  <c r="H30" i="7"/>
  <c r="I30" i="7"/>
  <c r="J30" i="7"/>
  <c r="G31" i="7"/>
  <c r="H31" i="7"/>
  <c r="I31" i="7"/>
  <c r="J31" i="7"/>
  <c r="G32" i="7"/>
  <c r="H32" i="7"/>
  <c r="I32" i="7"/>
  <c r="J32" i="7"/>
  <c r="G33" i="7"/>
  <c r="H33" i="7"/>
  <c r="I33" i="7"/>
  <c r="J33" i="7"/>
  <c r="G34" i="7"/>
  <c r="H34" i="7"/>
  <c r="I34" i="7"/>
  <c r="J34" i="7"/>
  <c r="G35" i="7"/>
  <c r="H35" i="7"/>
  <c r="I35" i="7"/>
  <c r="J35" i="7"/>
  <c r="G36" i="7"/>
  <c r="H36" i="7"/>
  <c r="I36" i="7"/>
  <c r="J36" i="7"/>
  <c r="G37" i="7"/>
  <c r="H37" i="7"/>
  <c r="I37" i="7"/>
  <c r="J37" i="7"/>
  <c r="G38" i="7"/>
  <c r="H38" i="7"/>
  <c r="I38" i="7"/>
  <c r="J38" i="7"/>
  <c r="G39" i="7"/>
  <c r="H39" i="7"/>
  <c r="I39" i="7"/>
  <c r="J39" i="7"/>
  <c r="G40" i="7"/>
  <c r="H40" i="7"/>
  <c r="I40" i="7"/>
  <c r="J40" i="7"/>
  <c r="G41" i="7"/>
  <c r="H41" i="7"/>
  <c r="I41" i="7"/>
  <c r="J41" i="7"/>
  <c r="G42" i="7"/>
  <c r="H42" i="7"/>
  <c r="I42" i="7"/>
  <c r="J42" i="7"/>
  <c r="G43" i="7"/>
  <c r="H43" i="7"/>
  <c r="I43" i="7"/>
  <c r="J43" i="7"/>
  <c r="G44" i="7"/>
  <c r="H44" i="7"/>
  <c r="I44" i="7"/>
  <c r="J44" i="7"/>
  <c r="G45" i="7"/>
  <c r="H45" i="7"/>
  <c r="I45" i="7"/>
  <c r="J45" i="7"/>
  <c r="G46" i="7"/>
  <c r="H46" i="7"/>
  <c r="I46" i="7"/>
  <c r="J46" i="7"/>
  <c r="G47" i="7"/>
  <c r="H47" i="7"/>
  <c r="I47" i="7"/>
  <c r="J47" i="7"/>
  <c r="G48" i="7"/>
  <c r="H48" i="7"/>
  <c r="I48" i="7"/>
  <c r="J48" i="7"/>
  <c r="G49" i="7"/>
  <c r="H49" i="7"/>
  <c r="I49" i="7"/>
  <c r="J49" i="7"/>
  <c r="G50" i="7"/>
  <c r="H50" i="7"/>
  <c r="I50" i="7"/>
  <c r="J50" i="7"/>
  <c r="G51" i="7"/>
  <c r="H51" i="7"/>
  <c r="I51" i="7"/>
  <c r="J51" i="7"/>
  <c r="H3" i="7"/>
  <c r="I3" i="7"/>
  <c r="J3" i="7"/>
  <c r="G3" i="7"/>
  <c r="F59" i="7"/>
  <c r="L20" i="7"/>
  <c r="AA42" i="7"/>
  <c r="AA45" i="7"/>
  <c r="AA49" i="7"/>
  <c r="AA50" i="7"/>
  <c r="V59" i="7"/>
  <c r="U59" i="7"/>
  <c r="T59" i="7"/>
  <c r="J165" i="1"/>
  <c r="F27" i="4"/>
  <c r="G27" i="4"/>
  <c r="H27" i="4"/>
  <c r="I27" i="4"/>
  <c r="E27" i="4"/>
  <c r="F51" i="1"/>
  <c r="G51" i="1"/>
  <c r="H51" i="1"/>
  <c r="I51" i="1"/>
  <c r="J51" i="1"/>
  <c r="E51" i="1"/>
  <c r="F24" i="4"/>
  <c r="G24" i="4"/>
  <c r="H24" i="4"/>
  <c r="I24" i="4"/>
  <c r="E24" i="4"/>
  <c r="J37" i="1"/>
  <c r="G37" i="1"/>
  <c r="H37" i="1"/>
  <c r="I37" i="1"/>
  <c r="E37" i="1"/>
  <c r="F18" i="4"/>
  <c r="G18" i="4"/>
  <c r="H18" i="4"/>
  <c r="I18" i="4"/>
  <c r="E18" i="4"/>
  <c r="Q59" i="7" l="1"/>
  <c r="P59" i="7"/>
  <c r="O59" i="7"/>
  <c r="L36" i="7"/>
  <c r="L4" i="7"/>
  <c r="L53" i="7"/>
  <c r="L51" i="7"/>
  <c r="L50" i="7"/>
  <c r="L49" i="7"/>
  <c r="L48" i="7"/>
  <c r="L47" i="7"/>
  <c r="L46" i="7"/>
  <c r="L45" i="7"/>
  <c r="L44" i="7"/>
  <c r="L43" i="7"/>
  <c r="L42" i="7"/>
  <c r="L41" i="7"/>
  <c r="L40" i="7"/>
  <c r="L39" i="7"/>
  <c r="L38" i="7"/>
  <c r="L37" i="7"/>
  <c r="L35" i="7"/>
  <c r="L34" i="7"/>
  <c r="L33" i="7"/>
  <c r="L32" i="7"/>
  <c r="L31" i="7"/>
  <c r="L30" i="7"/>
  <c r="L29" i="7"/>
  <c r="L28" i="7"/>
  <c r="L27" i="7"/>
  <c r="L26" i="7"/>
  <c r="L25" i="7"/>
  <c r="L24" i="7"/>
  <c r="L23" i="7"/>
  <c r="L22" i="7"/>
  <c r="L21" i="7"/>
  <c r="L19" i="7"/>
  <c r="L18" i="7"/>
  <c r="L17" i="7"/>
  <c r="L16" i="7"/>
  <c r="L15" i="7"/>
  <c r="L14" i="7"/>
  <c r="L13" i="7"/>
  <c r="L12" i="7"/>
  <c r="L11" i="7"/>
  <c r="L10" i="7"/>
  <c r="L9" i="7"/>
  <c r="L8" i="7"/>
  <c r="L7" i="7"/>
  <c r="L6" i="7"/>
  <c r="L5" i="7"/>
  <c r="K165" i="1"/>
  <c r="R27" i="10" s="1"/>
  <c r="Q27" i="10"/>
  <c r="AD59" i="7"/>
  <c r="J103" i="1"/>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53" i="7"/>
  <c r="L54" i="7"/>
  <c r="L52" i="7"/>
  <c r="E54" i="7"/>
  <c r="E52" i="7"/>
  <c r="X52" i="7"/>
  <c r="Y36" i="7"/>
  <c r="Y24" i="7"/>
  <c r="Y16" i="7"/>
  <c r="Y8" i="7"/>
  <c r="E14" i="7"/>
  <c r="E13" i="7"/>
  <c r="E12" i="7"/>
  <c r="E11" i="7"/>
  <c r="E10" i="7"/>
  <c r="E9" i="7"/>
  <c r="E8" i="7"/>
  <c r="E7" i="7"/>
  <c r="E6" i="7"/>
  <c r="E5" i="7"/>
  <c r="E4" i="7"/>
  <c r="Y40" i="7"/>
  <c r="Z3" i="7"/>
  <c r="Y51" i="7"/>
  <c r="Y47" i="7"/>
  <c r="Y43" i="7"/>
  <c r="Y39" i="7"/>
  <c r="Y35" i="7"/>
  <c r="Y31" i="7"/>
  <c r="Y27" i="7"/>
  <c r="Y23" i="7"/>
  <c r="Y19" i="7"/>
  <c r="Y15" i="7"/>
  <c r="Y11" i="7"/>
  <c r="Y7" i="7"/>
  <c r="Y48" i="7"/>
  <c r="Y32" i="7"/>
  <c r="Y20" i="7"/>
  <c r="Y4" i="7"/>
  <c r="X54" i="7"/>
  <c r="Y46" i="7"/>
  <c r="Y38" i="7"/>
  <c r="Y34" i="7"/>
  <c r="Y30" i="7"/>
  <c r="Y26" i="7"/>
  <c r="Y22" i="7"/>
  <c r="Y18" i="7"/>
  <c r="Y14" i="7"/>
  <c r="Y10" i="7"/>
  <c r="Y6" i="7"/>
  <c r="Y44" i="7"/>
  <c r="Y28" i="7"/>
  <c r="Y12" i="7"/>
  <c r="Y50" i="7"/>
  <c r="Y42" i="7"/>
  <c r="Y53" i="7"/>
  <c r="Y49" i="7"/>
  <c r="Y45" i="7"/>
  <c r="Y41" i="7"/>
  <c r="Y37" i="7"/>
  <c r="Y33" i="7"/>
  <c r="Y29" i="7"/>
  <c r="Y25" i="7"/>
  <c r="Y21" i="7"/>
  <c r="Y17" i="7"/>
  <c r="Y13" i="7"/>
  <c r="Y9" i="7"/>
  <c r="Y5" i="7"/>
  <c r="AA46" i="7"/>
  <c r="Y3" i="7"/>
  <c r="X51" i="7"/>
  <c r="X50" i="7"/>
  <c r="X49" i="7"/>
  <c r="X48" i="7"/>
  <c r="X47" i="7"/>
  <c r="X46" i="7"/>
  <c r="X45" i="7"/>
  <c r="X44" i="7"/>
  <c r="X43" i="7"/>
  <c r="X42" i="7"/>
  <c r="X41" i="7"/>
  <c r="X40" i="7"/>
  <c r="X39" i="7"/>
  <c r="X38" i="7"/>
  <c r="X37" i="7"/>
  <c r="X36" i="7"/>
  <c r="X35" i="7"/>
  <c r="X34" i="7"/>
  <c r="X33" i="7"/>
  <c r="X32" i="7"/>
  <c r="X31" i="7"/>
  <c r="X30" i="7"/>
  <c r="X29" i="7"/>
  <c r="X28" i="7"/>
  <c r="X27" i="7"/>
  <c r="X26" i="7"/>
  <c r="X25" i="7"/>
  <c r="X24" i="7"/>
  <c r="X23" i="7"/>
  <c r="X22" i="7"/>
  <c r="X21" i="7"/>
  <c r="X20" i="7"/>
  <c r="X19" i="7"/>
  <c r="X18" i="7"/>
  <c r="X17" i="7"/>
  <c r="X16" i="7"/>
  <c r="X15" i="7"/>
  <c r="X14" i="7"/>
  <c r="X13" i="7"/>
  <c r="X12" i="7"/>
  <c r="X11" i="7"/>
  <c r="X10" i="7"/>
  <c r="X9" i="7"/>
  <c r="X8" i="7"/>
  <c r="X7" i="7"/>
  <c r="X6" i="7"/>
  <c r="X5" i="7"/>
  <c r="X4" i="7"/>
  <c r="X53" i="7"/>
  <c r="X3" i="7"/>
  <c r="AA51" i="7"/>
  <c r="AA48" i="7"/>
  <c r="AA47" i="7"/>
  <c r="AA44" i="7"/>
  <c r="AA43" i="7"/>
  <c r="AA41" i="7"/>
  <c r="AA40" i="7"/>
  <c r="AA39" i="7"/>
  <c r="AA38" i="7"/>
  <c r="AA37" i="7"/>
  <c r="AA36" i="7"/>
  <c r="AA35" i="7"/>
  <c r="AA34" i="7"/>
  <c r="AA33" i="7"/>
  <c r="AA32" i="7"/>
  <c r="AA31" i="7"/>
  <c r="AA30" i="7"/>
  <c r="AA29" i="7"/>
  <c r="AA28" i="7"/>
  <c r="AA27" i="7"/>
  <c r="AA26" i="7"/>
  <c r="AA25" i="7"/>
  <c r="AA24" i="7"/>
  <c r="AA23" i="7"/>
  <c r="AA22" i="7"/>
  <c r="AA21" i="7"/>
  <c r="AA20" i="7"/>
  <c r="AA19" i="7"/>
  <c r="AA18" i="7"/>
  <c r="AA17" i="7"/>
  <c r="AA16" i="7"/>
  <c r="AA15" i="7"/>
  <c r="AA14" i="7"/>
  <c r="AA13" i="7"/>
  <c r="AA12" i="7"/>
  <c r="AA11" i="7"/>
  <c r="AA10" i="7"/>
  <c r="AA9" i="7"/>
  <c r="AA8" i="7"/>
  <c r="AA7" i="7"/>
  <c r="AA6" i="7"/>
  <c r="AA5" i="7"/>
  <c r="AA4" i="7"/>
  <c r="Y54" i="7"/>
  <c r="Y52" i="7"/>
  <c r="S52" i="7" s="1"/>
  <c r="AA3" i="7"/>
  <c r="Z51" i="7"/>
  <c r="Z50" i="7"/>
  <c r="Z49" i="7"/>
  <c r="Z48" i="7"/>
  <c r="Z47" i="7"/>
  <c r="Z46" i="7"/>
  <c r="Z45" i="7"/>
  <c r="Z44" i="7"/>
  <c r="Z43" i="7"/>
  <c r="Z42" i="7"/>
  <c r="Z41" i="7"/>
  <c r="Z40" i="7"/>
  <c r="Z39" i="7"/>
  <c r="Z38" i="7"/>
  <c r="Z37" i="7"/>
  <c r="Z36" i="7"/>
  <c r="Z35" i="7"/>
  <c r="Z34" i="7"/>
  <c r="Z33" i="7"/>
  <c r="Z32" i="7"/>
  <c r="Z31" i="7"/>
  <c r="Z30" i="7"/>
  <c r="Z29" i="7"/>
  <c r="Z28" i="7"/>
  <c r="Z27" i="7"/>
  <c r="Z26" i="7"/>
  <c r="Z25" i="7"/>
  <c r="Z24" i="7"/>
  <c r="Z23" i="7"/>
  <c r="Z22" i="7"/>
  <c r="Z21" i="7"/>
  <c r="Z20" i="7"/>
  <c r="Z19" i="7"/>
  <c r="Z18" i="7"/>
  <c r="Z17" i="7"/>
  <c r="Z16" i="7"/>
  <c r="Z15" i="7"/>
  <c r="Z14" i="7"/>
  <c r="Z13" i="7"/>
  <c r="Z12" i="7"/>
  <c r="Z11" i="7"/>
  <c r="Z10" i="7"/>
  <c r="Z9" i="7"/>
  <c r="Z8" i="7"/>
  <c r="Z7" i="7"/>
  <c r="Z6" i="7"/>
  <c r="Z5" i="7"/>
  <c r="Z4" i="7"/>
  <c r="L3" i="7"/>
  <c r="X59" i="7" l="1"/>
  <c r="L59" i="7"/>
  <c r="Z59" i="7"/>
  <c r="AA59" i="7"/>
  <c r="Y59" i="7"/>
  <c r="S54" i="7"/>
  <c r="J171" i="1"/>
  <c r="J107" i="1"/>
  <c r="Q18" i="10"/>
  <c r="S53" i="7"/>
  <c r="S7" i="7"/>
  <c r="S11" i="7"/>
  <c r="S15" i="7"/>
  <c r="S19" i="7"/>
  <c r="S23" i="7"/>
  <c r="S27" i="7"/>
  <c r="S31" i="7"/>
  <c r="S35" i="7"/>
  <c r="S39" i="7"/>
  <c r="S43" i="7"/>
  <c r="S47" i="7"/>
  <c r="S51" i="7"/>
  <c r="S4" i="7"/>
  <c r="S8" i="7"/>
  <c r="S12" i="7"/>
  <c r="S16" i="7"/>
  <c r="S20" i="7"/>
  <c r="S24" i="7"/>
  <c r="S28" i="7"/>
  <c r="S32" i="7"/>
  <c r="S36" i="7"/>
  <c r="S40" i="7"/>
  <c r="S44" i="7"/>
  <c r="S48" i="7"/>
  <c r="S3" i="7"/>
  <c r="S5" i="7"/>
  <c r="S9" i="7"/>
  <c r="S13" i="7"/>
  <c r="S17" i="7"/>
  <c r="S21" i="7"/>
  <c r="S25" i="7"/>
  <c r="S29" i="7"/>
  <c r="S33" i="7"/>
  <c r="S37" i="7"/>
  <c r="S41" i="7"/>
  <c r="S45" i="7"/>
  <c r="S49" i="7"/>
  <c r="S6" i="7"/>
  <c r="S10" i="7"/>
  <c r="S14" i="7"/>
  <c r="S18" i="7"/>
  <c r="S22" i="7"/>
  <c r="S26" i="7"/>
  <c r="S30" i="7"/>
  <c r="S34" i="7"/>
  <c r="S38" i="7"/>
  <c r="S42" i="7"/>
  <c r="S46" i="7"/>
  <c r="S50" i="7"/>
  <c r="DE55" i="6"/>
  <c r="DD55" i="6"/>
  <c r="DK55" i="6" s="1"/>
  <c r="DC55" i="6"/>
  <c r="DJ55" i="6" s="1"/>
  <c r="DB55" i="6"/>
  <c r="DI55" i="6" s="1"/>
  <c r="DA55" i="6"/>
  <c r="DH55" i="6" s="1"/>
  <c r="CZ55" i="6"/>
  <c r="DE54" i="6"/>
  <c r="DD54" i="6"/>
  <c r="DK54" i="6" s="1"/>
  <c r="DC54" i="6"/>
  <c r="DJ54" i="6" s="1"/>
  <c r="DB54" i="6"/>
  <c r="DI54" i="6" s="1"/>
  <c r="DA54" i="6"/>
  <c r="DH54" i="6" s="1"/>
  <c r="CZ54" i="6"/>
  <c r="DE53" i="6"/>
  <c r="DD53" i="6"/>
  <c r="DK53" i="6" s="1"/>
  <c r="DC53" i="6"/>
  <c r="DJ53" i="6" s="1"/>
  <c r="DB53" i="6"/>
  <c r="DI53" i="6" s="1"/>
  <c r="DA53" i="6"/>
  <c r="DH53" i="6" s="1"/>
  <c r="CZ53" i="6"/>
  <c r="DE52" i="6"/>
  <c r="DD52" i="6"/>
  <c r="DK52" i="6" s="1"/>
  <c r="DC52" i="6"/>
  <c r="DJ52" i="6" s="1"/>
  <c r="DB52" i="6"/>
  <c r="DI52" i="6" s="1"/>
  <c r="DA52" i="6"/>
  <c r="DH52" i="6" s="1"/>
  <c r="CZ52" i="6"/>
  <c r="DE51" i="6"/>
  <c r="DD51" i="6"/>
  <c r="DK51" i="6" s="1"/>
  <c r="DC51" i="6"/>
  <c r="DJ51" i="6" s="1"/>
  <c r="DB51" i="6"/>
  <c r="DI51" i="6" s="1"/>
  <c r="DA51" i="6"/>
  <c r="DH51" i="6" s="1"/>
  <c r="CZ51" i="6"/>
  <c r="DE50" i="6"/>
  <c r="DD50" i="6"/>
  <c r="DK50" i="6" s="1"/>
  <c r="DC50" i="6"/>
  <c r="DJ50" i="6" s="1"/>
  <c r="DB50" i="6"/>
  <c r="DI50" i="6" s="1"/>
  <c r="DA50" i="6"/>
  <c r="DH50" i="6" s="1"/>
  <c r="CZ50" i="6"/>
  <c r="DE49" i="6"/>
  <c r="DD49" i="6"/>
  <c r="DK49" i="6" s="1"/>
  <c r="DC49" i="6"/>
  <c r="DJ49" i="6" s="1"/>
  <c r="DB49" i="6"/>
  <c r="DI49" i="6" s="1"/>
  <c r="DA49" i="6"/>
  <c r="DH49" i="6" s="1"/>
  <c r="CZ49" i="6"/>
  <c r="DE48" i="6"/>
  <c r="DD48" i="6"/>
  <c r="DK48" i="6" s="1"/>
  <c r="DC48" i="6"/>
  <c r="DJ48" i="6" s="1"/>
  <c r="DB48" i="6"/>
  <c r="DI48" i="6" s="1"/>
  <c r="DA48" i="6"/>
  <c r="DH48" i="6" s="1"/>
  <c r="CZ48" i="6"/>
  <c r="DE47" i="6"/>
  <c r="DD47" i="6"/>
  <c r="DK47" i="6" s="1"/>
  <c r="DC47" i="6"/>
  <c r="DJ47" i="6" s="1"/>
  <c r="DB47" i="6"/>
  <c r="DI47" i="6" s="1"/>
  <c r="DA47" i="6"/>
  <c r="DH47" i="6" s="1"/>
  <c r="CZ47" i="6"/>
  <c r="DE46" i="6"/>
  <c r="DD46" i="6"/>
  <c r="DK46" i="6" s="1"/>
  <c r="DC46" i="6"/>
  <c r="DJ46" i="6" s="1"/>
  <c r="DB46" i="6"/>
  <c r="DI46" i="6" s="1"/>
  <c r="DA46" i="6"/>
  <c r="DH46" i="6" s="1"/>
  <c r="CZ46" i="6"/>
  <c r="DE45" i="6"/>
  <c r="DD45" i="6"/>
  <c r="DK45" i="6" s="1"/>
  <c r="DC45" i="6"/>
  <c r="DJ45" i="6" s="1"/>
  <c r="DB45" i="6"/>
  <c r="DI45" i="6" s="1"/>
  <c r="DA45" i="6"/>
  <c r="DH45" i="6" s="1"/>
  <c r="CZ45" i="6"/>
  <c r="DE44" i="6"/>
  <c r="DD44" i="6"/>
  <c r="DK44" i="6" s="1"/>
  <c r="DC44" i="6"/>
  <c r="DJ44" i="6" s="1"/>
  <c r="DB44" i="6"/>
  <c r="DI44" i="6" s="1"/>
  <c r="DA44" i="6"/>
  <c r="DH44" i="6" s="1"/>
  <c r="CZ44" i="6"/>
  <c r="DE43" i="6"/>
  <c r="DD43" i="6"/>
  <c r="DK43" i="6" s="1"/>
  <c r="DC43" i="6"/>
  <c r="DJ43" i="6" s="1"/>
  <c r="DB43" i="6"/>
  <c r="DI43" i="6" s="1"/>
  <c r="DA43" i="6"/>
  <c r="DH43" i="6" s="1"/>
  <c r="CZ43" i="6"/>
  <c r="DE42" i="6"/>
  <c r="DD42" i="6"/>
  <c r="DK42" i="6" s="1"/>
  <c r="DC42" i="6"/>
  <c r="DJ42" i="6" s="1"/>
  <c r="DB42" i="6"/>
  <c r="DI42" i="6" s="1"/>
  <c r="DA42" i="6"/>
  <c r="DH42" i="6" s="1"/>
  <c r="CZ42" i="6"/>
  <c r="DE41" i="6"/>
  <c r="DD41" i="6"/>
  <c r="DK41" i="6" s="1"/>
  <c r="DC41" i="6"/>
  <c r="DJ41" i="6" s="1"/>
  <c r="DB41" i="6"/>
  <c r="DI41" i="6" s="1"/>
  <c r="DA41" i="6"/>
  <c r="DH41" i="6" s="1"/>
  <c r="CZ41" i="6"/>
  <c r="DE40" i="6"/>
  <c r="DD40" i="6"/>
  <c r="DK40" i="6" s="1"/>
  <c r="DC40" i="6"/>
  <c r="DJ40" i="6" s="1"/>
  <c r="DB40" i="6"/>
  <c r="DI40" i="6" s="1"/>
  <c r="DA40" i="6"/>
  <c r="DH40" i="6" s="1"/>
  <c r="CZ40" i="6"/>
  <c r="DE39" i="6"/>
  <c r="DD39" i="6"/>
  <c r="DK39" i="6" s="1"/>
  <c r="DC39" i="6"/>
  <c r="DJ39" i="6" s="1"/>
  <c r="DB39" i="6"/>
  <c r="DI39" i="6" s="1"/>
  <c r="DA39" i="6"/>
  <c r="DH39" i="6" s="1"/>
  <c r="CZ39" i="6"/>
  <c r="DE38" i="6"/>
  <c r="DD38" i="6"/>
  <c r="DK38" i="6" s="1"/>
  <c r="DC38" i="6"/>
  <c r="DJ38" i="6" s="1"/>
  <c r="DB38" i="6"/>
  <c r="DI38" i="6" s="1"/>
  <c r="DA38" i="6"/>
  <c r="DH38" i="6" s="1"/>
  <c r="CZ38" i="6"/>
  <c r="DE37" i="6"/>
  <c r="DD37" i="6"/>
  <c r="DK37" i="6" s="1"/>
  <c r="DC37" i="6"/>
  <c r="DJ37" i="6" s="1"/>
  <c r="DB37" i="6"/>
  <c r="DI37" i="6" s="1"/>
  <c r="DA37" i="6"/>
  <c r="DH37" i="6" s="1"/>
  <c r="CZ37" i="6"/>
  <c r="DE36" i="6"/>
  <c r="DD36" i="6"/>
  <c r="DK36" i="6" s="1"/>
  <c r="DC36" i="6"/>
  <c r="DJ36" i="6" s="1"/>
  <c r="DB36" i="6"/>
  <c r="DI36" i="6" s="1"/>
  <c r="DA36" i="6"/>
  <c r="DH36" i="6" s="1"/>
  <c r="CZ36" i="6"/>
  <c r="DE35" i="6"/>
  <c r="DD35" i="6"/>
  <c r="DK35" i="6" s="1"/>
  <c r="DC35" i="6"/>
  <c r="DJ35" i="6" s="1"/>
  <c r="DB35" i="6"/>
  <c r="DI35" i="6" s="1"/>
  <c r="DA35" i="6"/>
  <c r="DH35" i="6" s="1"/>
  <c r="CZ35" i="6"/>
  <c r="DE34" i="6"/>
  <c r="DD34" i="6"/>
  <c r="DK34" i="6" s="1"/>
  <c r="DC34" i="6"/>
  <c r="DJ34" i="6" s="1"/>
  <c r="DB34" i="6"/>
  <c r="DI34" i="6" s="1"/>
  <c r="DA34" i="6"/>
  <c r="DH34" i="6" s="1"/>
  <c r="CZ34" i="6"/>
  <c r="DE33" i="6"/>
  <c r="DD33" i="6"/>
  <c r="DK33" i="6" s="1"/>
  <c r="DC33" i="6"/>
  <c r="DJ33" i="6" s="1"/>
  <c r="DB33" i="6"/>
  <c r="DI33" i="6" s="1"/>
  <c r="DA33" i="6"/>
  <c r="DH33" i="6" s="1"/>
  <c r="CZ33" i="6"/>
  <c r="DE32" i="6"/>
  <c r="DD32" i="6"/>
  <c r="DK32" i="6" s="1"/>
  <c r="DC32" i="6"/>
  <c r="DJ32" i="6" s="1"/>
  <c r="DB32" i="6"/>
  <c r="DI32" i="6" s="1"/>
  <c r="DA32" i="6"/>
  <c r="DH32" i="6" s="1"/>
  <c r="CZ32" i="6"/>
  <c r="DE31" i="6"/>
  <c r="DD31" i="6"/>
  <c r="DK31" i="6" s="1"/>
  <c r="DC31" i="6"/>
  <c r="DJ31" i="6" s="1"/>
  <c r="DB31" i="6"/>
  <c r="DI31" i="6" s="1"/>
  <c r="DA31" i="6"/>
  <c r="DH31" i="6" s="1"/>
  <c r="CZ31" i="6"/>
  <c r="DE30" i="6"/>
  <c r="DD30" i="6"/>
  <c r="DK30" i="6" s="1"/>
  <c r="DC30" i="6"/>
  <c r="DJ30" i="6" s="1"/>
  <c r="DB30" i="6"/>
  <c r="DI30" i="6" s="1"/>
  <c r="DA30" i="6"/>
  <c r="DH30" i="6" s="1"/>
  <c r="CZ30" i="6"/>
  <c r="DE29" i="6"/>
  <c r="DD29" i="6"/>
  <c r="DK29" i="6" s="1"/>
  <c r="DC29" i="6"/>
  <c r="DJ29" i="6" s="1"/>
  <c r="DB29" i="6"/>
  <c r="DI29" i="6" s="1"/>
  <c r="DA29" i="6"/>
  <c r="DH29" i="6" s="1"/>
  <c r="CZ29" i="6"/>
  <c r="DE28" i="6"/>
  <c r="DD28" i="6"/>
  <c r="DK28" i="6" s="1"/>
  <c r="DC28" i="6"/>
  <c r="DJ28" i="6" s="1"/>
  <c r="DB28" i="6"/>
  <c r="DI28" i="6" s="1"/>
  <c r="DA28" i="6"/>
  <c r="DH28" i="6" s="1"/>
  <c r="CZ28" i="6"/>
  <c r="DE27" i="6"/>
  <c r="DD27" i="6"/>
  <c r="DK27" i="6" s="1"/>
  <c r="DC27" i="6"/>
  <c r="DJ27" i="6" s="1"/>
  <c r="DB27" i="6"/>
  <c r="DI27" i="6" s="1"/>
  <c r="DA27" i="6"/>
  <c r="DH27" i="6" s="1"/>
  <c r="CZ27" i="6"/>
  <c r="DE26" i="6"/>
  <c r="DD26" i="6"/>
  <c r="DK26" i="6" s="1"/>
  <c r="DC26" i="6"/>
  <c r="DJ26" i="6" s="1"/>
  <c r="DB26" i="6"/>
  <c r="DI26" i="6" s="1"/>
  <c r="DA26" i="6"/>
  <c r="DH26" i="6" s="1"/>
  <c r="CZ26" i="6"/>
  <c r="DE25" i="6"/>
  <c r="DD25" i="6"/>
  <c r="DK25" i="6" s="1"/>
  <c r="DC25" i="6"/>
  <c r="DJ25" i="6" s="1"/>
  <c r="DB25" i="6"/>
  <c r="DI25" i="6" s="1"/>
  <c r="DA25" i="6"/>
  <c r="DH25" i="6" s="1"/>
  <c r="CZ25" i="6"/>
  <c r="DE24" i="6"/>
  <c r="DD24" i="6"/>
  <c r="DK24" i="6" s="1"/>
  <c r="DC24" i="6"/>
  <c r="DJ24" i="6" s="1"/>
  <c r="DB24" i="6"/>
  <c r="DI24" i="6" s="1"/>
  <c r="DA24" i="6"/>
  <c r="DH24" i="6" s="1"/>
  <c r="CZ24" i="6"/>
  <c r="DE23" i="6"/>
  <c r="DD23" i="6"/>
  <c r="DK23" i="6" s="1"/>
  <c r="DC23" i="6"/>
  <c r="DJ23" i="6" s="1"/>
  <c r="DB23" i="6"/>
  <c r="DI23" i="6" s="1"/>
  <c r="DA23" i="6"/>
  <c r="DH23" i="6" s="1"/>
  <c r="CZ23" i="6"/>
  <c r="DE22" i="6"/>
  <c r="DD22" i="6"/>
  <c r="DK22" i="6" s="1"/>
  <c r="DC22" i="6"/>
  <c r="DJ22" i="6" s="1"/>
  <c r="DB22" i="6"/>
  <c r="DI22" i="6" s="1"/>
  <c r="DA22" i="6"/>
  <c r="DH22" i="6" s="1"/>
  <c r="CZ22" i="6"/>
  <c r="DE21" i="6"/>
  <c r="DD21" i="6"/>
  <c r="DK21" i="6" s="1"/>
  <c r="DC21" i="6"/>
  <c r="DJ21" i="6" s="1"/>
  <c r="DB21" i="6"/>
  <c r="DI21" i="6" s="1"/>
  <c r="DA21" i="6"/>
  <c r="DH21" i="6" s="1"/>
  <c r="CZ21" i="6"/>
  <c r="DE20" i="6"/>
  <c r="DD20" i="6"/>
  <c r="DK20" i="6" s="1"/>
  <c r="DC20" i="6"/>
  <c r="DJ20" i="6" s="1"/>
  <c r="DB20" i="6"/>
  <c r="DI20" i="6" s="1"/>
  <c r="DA20" i="6"/>
  <c r="DH20" i="6" s="1"/>
  <c r="CZ20" i="6"/>
  <c r="DE19" i="6"/>
  <c r="DD19" i="6"/>
  <c r="DK19" i="6" s="1"/>
  <c r="DC19" i="6"/>
  <c r="DJ19" i="6" s="1"/>
  <c r="DB19" i="6"/>
  <c r="DI19" i="6" s="1"/>
  <c r="DA19" i="6"/>
  <c r="DH19" i="6" s="1"/>
  <c r="CZ19" i="6"/>
  <c r="DE18" i="6"/>
  <c r="DD18" i="6"/>
  <c r="DK18" i="6" s="1"/>
  <c r="DC18" i="6"/>
  <c r="DJ18" i="6" s="1"/>
  <c r="DB18" i="6"/>
  <c r="DI18" i="6" s="1"/>
  <c r="DA18" i="6"/>
  <c r="DH18" i="6" s="1"/>
  <c r="CZ18" i="6"/>
  <c r="DE17" i="6"/>
  <c r="DD17" i="6"/>
  <c r="DK17" i="6" s="1"/>
  <c r="DC17" i="6"/>
  <c r="DJ17" i="6" s="1"/>
  <c r="DB17" i="6"/>
  <c r="DI17" i="6" s="1"/>
  <c r="DA17" i="6"/>
  <c r="DH17" i="6" s="1"/>
  <c r="CZ17" i="6"/>
  <c r="DE16" i="6"/>
  <c r="DD16" i="6"/>
  <c r="DK16" i="6" s="1"/>
  <c r="DC16" i="6"/>
  <c r="DJ16" i="6" s="1"/>
  <c r="DB16" i="6"/>
  <c r="DI16" i="6" s="1"/>
  <c r="DA16" i="6"/>
  <c r="DH16" i="6" s="1"/>
  <c r="CZ16" i="6"/>
  <c r="DE15" i="6"/>
  <c r="DD15" i="6"/>
  <c r="DK15" i="6" s="1"/>
  <c r="DC15" i="6"/>
  <c r="DJ15" i="6" s="1"/>
  <c r="DB15" i="6"/>
  <c r="DI15" i="6" s="1"/>
  <c r="DA15" i="6"/>
  <c r="DH15" i="6" s="1"/>
  <c r="CZ15" i="6"/>
  <c r="DE14" i="6"/>
  <c r="DD14" i="6"/>
  <c r="DK14" i="6" s="1"/>
  <c r="DC14" i="6"/>
  <c r="DJ14" i="6" s="1"/>
  <c r="DB14" i="6"/>
  <c r="DI14" i="6" s="1"/>
  <c r="DA14" i="6"/>
  <c r="DH14" i="6" s="1"/>
  <c r="CZ14" i="6"/>
  <c r="DE13" i="6"/>
  <c r="DD13" i="6"/>
  <c r="DK13" i="6" s="1"/>
  <c r="DC13" i="6"/>
  <c r="DJ13" i="6" s="1"/>
  <c r="DB13" i="6"/>
  <c r="DI13" i="6" s="1"/>
  <c r="DA13" i="6"/>
  <c r="DH13" i="6" s="1"/>
  <c r="CZ13" i="6"/>
  <c r="DE12" i="6"/>
  <c r="DD12" i="6"/>
  <c r="DK12" i="6" s="1"/>
  <c r="DC12" i="6"/>
  <c r="DJ12" i="6" s="1"/>
  <c r="DB12" i="6"/>
  <c r="DI12" i="6" s="1"/>
  <c r="DA12" i="6"/>
  <c r="DH12" i="6" s="1"/>
  <c r="CZ12" i="6"/>
  <c r="DE11" i="6"/>
  <c r="DD11" i="6"/>
  <c r="DK11" i="6" s="1"/>
  <c r="DC11" i="6"/>
  <c r="DJ11" i="6" s="1"/>
  <c r="DB11" i="6"/>
  <c r="DI11" i="6" s="1"/>
  <c r="DA11" i="6"/>
  <c r="DH11" i="6" s="1"/>
  <c r="CZ11" i="6"/>
  <c r="DE10" i="6"/>
  <c r="DD10" i="6"/>
  <c r="DK10" i="6" s="1"/>
  <c r="DC10" i="6"/>
  <c r="DJ10" i="6" s="1"/>
  <c r="DB10" i="6"/>
  <c r="DI10" i="6" s="1"/>
  <c r="DA10" i="6"/>
  <c r="DH10" i="6" s="1"/>
  <c r="CZ10" i="6"/>
  <c r="DE9" i="6"/>
  <c r="DD9" i="6"/>
  <c r="DK9" i="6" s="1"/>
  <c r="DC9" i="6"/>
  <c r="DJ9" i="6" s="1"/>
  <c r="DB9" i="6"/>
  <c r="DI9" i="6" s="1"/>
  <c r="DA9" i="6"/>
  <c r="DH9" i="6" s="1"/>
  <c r="CZ9" i="6"/>
  <c r="DE8" i="6"/>
  <c r="DD8" i="6"/>
  <c r="DK8" i="6" s="1"/>
  <c r="DC8" i="6"/>
  <c r="DJ8" i="6" s="1"/>
  <c r="DB8" i="6"/>
  <c r="DI8" i="6" s="1"/>
  <c r="DA8" i="6"/>
  <c r="DH8" i="6" s="1"/>
  <c r="CZ8" i="6"/>
  <c r="DE7" i="6"/>
  <c r="DD7" i="6"/>
  <c r="DK7" i="6" s="1"/>
  <c r="DC7" i="6"/>
  <c r="DJ7" i="6" s="1"/>
  <c r="DB7" i="6"/>
  <c r="DI7" i="6" s="1"/>
  <c r="DA7" i="6"/>
  <c r="DH7" i="6" s="1"/>
  <c r="CZ7" i="6"/>
  <c r="DE6" i="6"/>
  <c r="DD6" i="6"/>
  <c r="DK6" i="6" s="1"/>
  <c r="DC6" i="6"/>
  <c r="DJ6" i="6" s="1"/>
  <c r="DB6" i="6"/>
  <c r="DI6" i="6" s="1"/>
  <c r="DA6" i="6"/>
  <c r="DH6" i="6" s="1"/>
  <c r="CZ6" i="6"/>
  <c r="DE5" i="6"/>
  <c r="DD5" i="6"/>
  <c r="DK5" i="6" s="1"/>
  <c r="DC5" i="6"/>
  <c r="DJ5" i="6" s="1"/>
  <c r="DB5" i="6"/>
  <c r="DI5" i="6" s="1"/>
  <c r="DA5" i="6"/>
  <c r="DH5" i="6" s="1"/>
  <c r="CZ5" i="6"/>
  <c r="DE4" i="6"/>
  <c r="DD4" i="6"/>
  <c r="DK4" i="6" s="1"/>
  <c r="DC4" i="6"/>
  <c r="DJ4" i="6" s="1"/>
  <c r="DB4" i="6"/>
  <c r="DI4" i="6" s="1"/>
  <c r="DA4" i="6"/>
  <c r="DH4" i="6" s="1"/>
  <c r="CZ4" i="6"/>
  <c r="AS32" i="6"/>
  <c r="AY32" i="6" s="1"/>
  <c r="AT32" i="6"/>
  <c r="AU32" i="6"/>
  <c r="BB32" i="6" s="1"/>
  <c r="AV32" i="6"/>
  <c r="BC32" i="6" s="1"/>
  <c r="AW32" i="6"/>
  <c r="BD32" i="6" s="1"/>
  <c r="AX32" i="6"/>
  <c r="AS33" i="6"/>
  <c r="AY33" i="6" s="1"/>
  <c r="AT33" i="6"/>
  <c r="AU33" i="6"/>
  <c r="BB33" i="6" s="1"/>
  <c r="AV33" i="6"/>
  <c r="BC33" i="6" s="1"/>
  <c r="AW33" i="6"/>
  <c r="BD33" i="6" s="1"/>
  <c r="AX33" i="6"/>
  <c r="AS34" i="6"/>
  <c r="AY34" i="6" s="1"/>
  <c r="AT34" i="6"/>
  <c r="AU34" i="6"/>
  <c r="BB34" i="6" s="1"/>
  <c r="AV34" i="6"/>
  <c r="BC34" i="6" s="1"/>
  <c r="AW34" i="6"/>
  <c r="BD34" i="6" s="1"/>
  <c r="AX34" i="6"/>
  <c r="AS35" i="6"/>
  <c r="AY35" i="6" s="1"/>
  <c r="AT35" i="6"/>
  <c r="AU35" i="6"/>
  <c r="BB35" i="6" s="1"/>
  <c r="AV35" i="6"/>
  <c r="BC35" i="6" s="1"/>
  <c r="AW35" i="6"/>
  <c r="BD35" i="6" s="1"/>
  <c r="AX35" i="6"/>
  <c r="AS36" i="6"/>
  <c r="AY36" i="6" s="1"/>
  <c r="AT36" i="6"/>
  <c r="AU36" i="6"/>
  <c r="BB36" i="6" s="1"/>
  <c r="AV36" i="6"/>
  <c r="BC36" i="6" s="1"/>
  <c r="AW36" i="6"/>
  <c r="BD36" i="6" s="1"/>
  <c r="AX36" i="6"/>
  <c r="AS37" i="6"/>
  <c r="AY37" i="6" s="1"/>
  <c r="AT37" i="6"/>
  <c r="AU37" i="6"/>
  <c r="BB37" i="6" s="1"/>
  <c r="AV37" i="6"/>
  <c r="BC37" i="6" s="1"/>
  <c r="AW37" i="6"/>
  <c r="BD37" i="6" s="1"/>
  <c r="AX37" i="6"/>
  <c r="AS38" i="6"/>
  <c r="AY38" i="6" s="1"/>
  <c r="AT38" i="6"/>
  <c r="AU38" i="6"/>
  <c r="BB38" i="6" s="1"/>
  <c r="AV38" i="6"/>
  <c r="BC38" i="6" s="1"/>
  <c r="AW38" i="6"/>
  <c r="BD38" i="6" s="1"/>
  <c r="AX38" i="6"/>
  <c r="AS39" i="6"/>
  <c r="AY39" i="6" s="1"/>
  <c r="AT39" i="6"/>
  <c r="AU39" i="6"/>
  <c r="BB39" i="6" s="1"/>
  <c r="AV39" i="6"/>
  <c r="BC39" i="6" s="1"/>
  <c r="AW39" i="6"/>
  <c r="BD39" i="6" s="1"/>
  <c r="AX39" i="6"/>
  <c r="AS40" i="6"/>
  <c r="AY40" i="6" s="1"/>
  <c r="AT40" i="6"/>
  <c r="AU40" i="6"/>
  <c r="BB40" i="6" s="1"/>
  <c r="AV40" i="6"/>
  <c r="BC40" i="6" s="1"/>
  <c r="AW40" i="6"/>
  <c r="BD40" i="6" s="1"/>
  <c r="AX40" i="6"/>
  <c r="AS41" i="6"/>
  <c r="AY41" i="6" s="1"/>
  <c r="AT41" i="6"/>
  <c r="AU41" i="6"/>
  <c r="BB41" i="6" s="1"/>
  <c r="AV41" i="6"/>
  <c r="BC41" i="6" s="1"/>
  <c r="AW41" i="6"/>
  <c r="BD41" i="6" s="1"/>
  <c r="AX41" i="6"/>
  <c r="AS42" i="6"/>
  <c r="AY42" i="6" s="1"/>
  <c r="AT42" i="6"/>
  <c r="AU42" i="6"/>
  <c r="BB42" i="6" s="1"/>
  <c r="AV42" i="6"/>
  <c r="BC42" i="6" s="1"/>
  <c r="AW42" i="6"/>
  <c r="BD42" i="6" s="1"/>
  <c r="AX42" i="6"/>
  <c r="AS43" i="6"/>
  <c r="AY43" i="6" s="1"/>
  <c r="AT43" i="6"/>
  <c r="AU43" i="6"/>
  <c r="BB43" i="6" s="1"/>
  <c r="AV43" i="6"/>
  <c r="BC43" i="6" s="1"/>
  <c r="AW43" i="6"/>
  <c r="BD43" i="6" s="1"/>
  <c r="AX43" i="6"/>
  <c r="AS44" i="6"/>
  <c r="AY44" i="6" s="1"/>
  <c r="AT44" i="6"/>
  <c r="AU44" i="6"/>
  <c r="BB44" i="6" s="1"/>
  <c r="AV44" i="6"/>
  <c r="BC44" i="6" s="1"/>
  <c r="AW44" i="6"/>
  <c r="BD44" i="6" s="1"/>
  <c r="AX44" i="6"/>
  <c r="AS45" i="6"/>
  <c r="AY45" i="6" s="1"/>
  <c r="AT45" i="6"/>
  <c r="AU45" i="6"/>
  <c r="BB45" i="6" s="1"/>
  <c r="AV45" i="6"/>
  <c r="BC45" i="6" s="1"/>
  <c r="AW45" i="6"/>
  <c r="BD45" i="6" s="1"/>
  <c r="AX45" i="6"/>
  <c r="AS46" i="6"/>
  <c r="AY46" i="6" s="1"/>
  <c r="AT46" i="6"/>
  <c r="AU46" i="6"/>
  <c r="BB46" i="6" s="1"/>
  <c r="AV46" i="6"/>
  <c r="BC46" i="6" s="1"/>
  <c r="AW46" i="6"/>
  <c r="BD46" i="6" s="1"/>
  <c r="AX46" i="6"/>
  <c r="AS47" i="6"/>
  <c r="AY47" i="6" s="1"/>
  <c r="AT47" i="6"/>
  <c r="AU47" i="6"/>
  <c r="BB47" i="6" s="1"/>
  <c r="AV47" i="6"/>
  <c r="BC47" i="6" s="1"/>
  <c r="AW47" i="6"/>
  <c r="BD47" i="6" s="1"/>
  <c r="AX47" i="6"/>
  <c r="AS48" i="6"/>
  <c r="AY48" i="6" s="1"/>
  <c r="AT48" i="6"/>
  <c r="AU48" i="6"/>
  <c r="BB48" i="6" s="1"/>
  <c r="AV48" i="6"/>
  <c r="BC48" i="6" s="1"/>
  <c r="AW48" i="6"/>
  <c r="BD48" i="6" s="1"/>
  <c r="AX48" i="6"/>
  <c r="AS49" i="6"/>
  <c r="AY49" i="6" s="1"/>
  <c r="AT49" i="6"/>
  <c r="AU49" i="6"/>
  <c r="BB49" i="6" s="1"/>
  <c r="AV49" i="6"/>
  <c r="BC49" i="6" s="1"/>
  <c r="AW49" i="6"/>
  <c r="BD49" i="6" s="1"/>
  <c r="AX49" i="6"/>
  <c r="AS50" i="6"/>
  <c r="AY50" i="6" s="1"/>
  <c r="AT50" i="6"/>
  <c r="AU50" i="6"/>
  <c r="BB50" i="6" s="1"/>
  <c r="AV50" i="6"/>
  <c r="BC50" i="6" s="1"/>
  <c r="AW50" i="6"/>
  <c r="BD50" i="6" s="1"/>
  <c r="AX50" i="6"/>
  <c r="AS51" i="6"/>
  <c r="AY51" i="6" s="1"/>
  <c r="AT51" i="6"/>
  <c r="AU51" i="6"/>
  <c r="BB51" i="6" s="1"/>
  <c r="AV51" i="6"/>
  <c r="BC51" i="6" s="1"/>
  <c r="AW51" i="6"/>
  <c r="BD51" i="6" s="1"/>
  <c r="AX51" i="6"/>
  <c r="AS52" i="6"/>
  <c r="AY52" i="6" s="1"/>
  <c r="AT52" i="6"/>
  <c r="AU52" i="6"/>
  <c r="BB52" i="6" s="1"/>
  <c r="AV52" i="6"/>
  <c r="BC52" i="6" s="1"/>
  <c r="AW52" i="6"/>
  <c r="BD52" i="6" s="1"/>
  <c r="AX52" i="6"/>
  <c r="AS53" i="6"/>
  <c r="AY53" i="6" s="1"/>
  <c r="AT53" i="6"/>
  <c r="AU53" i="6"/>
  <c r="BB53" i="6" s="1"/>
  <c r="AV53" i="6"/>
  <c r="BC53" i="6" s="1"/>
  <c r="AW53" i="6"/>
  <c r="BD53" i="6" s="1"/>
  <c r="AX53" i="6"/>
  <c r="AS54" i="6"/>
  <c r="AY54" i="6" s="1"/>
  <c r="AT54" i="6"/>
  <c r="AU54" i="6"/>
  <c r="BB54" i="6" s="1"/>
  <c r="AV54" i="6"/>
  <c r="BC54" i="6" s="1"/>
  <c r="AW54" i="6"/>
  <c r="BD54" i="6" s="1"/>
  <c r="AX54" i="6"/>
  <c r="AS55" i="6"/>
  <c r="AY55" i="6" s="1"/>
  <c r="AT55" i="6"/>
  <c r="AU55" i="6"/>
  <c r="BB55" i="6" s="1"/>
  <c r="AV55" i="6"/>
  <c r="BC55" i="6" s="1"/>
  <c r="AW55" i="6"/>
  <c r="BD55" i="6" s="1"/>
  <c r="AX55" i="6"/>
  <c r="AS15" i="6"/>
  <c r="AY15" i="6" s="1"/>
  <c r="AT15" i="6"/>
  <c r="AU15" i="6"/>
  <c r="BB15" i="6" s="1"/>
  <c r="AV15" i="6"/>
  <c r="BC15" i="6" s="1"/>
  <c r="AW15" i="6"/>
  <c r="BD15" i="6" s="1"/>
  <c r="AX15" i="6"/>
  <c r="AS16" i="6"/>
  <c r="AY16" i="6" s="1"/>
  <c r="AT16" i="6"/>
  <c r="AU16" i="6"/>
  <c r="BB16" i="6" s="1"/>
  <c r="AV16" i="6"/>
  <c r="BC16" i="6" s="1"/>
  <c r="AW16" i="6"/>
  <c r="BD16" i="6" s="1"/>
  <c r="AX16" i="6"/>
  <c r="AS17" i="6"/>
  <c r="AY17" i="6" s="1"/>
  <c r="AT17" i="6"/>
  <c r="AU17" i="6"/>
  <c r="BB17" i="6" s="1"/>
  <c r="AV17" i="6"/>
  <c r="BC17" i="6" s="1"/>
  <c r="AW17" i="6"/>
  <c r="BD17" i="6" s="1"/>
  <c r="AX17" i="6"/>
  <c r="AS18" i="6"/>
  <c r="AY18" i="6" s="1"/>
  <c r="AT18" i="6"/>
  <c r="AU18" i="6"/>
  <c r="BB18" i="6" s="1"/>
  <c r="AV18" i="6"/>
  <c r="BC18" i="6" s="1"/>
  <c r="AW18" i="6"/>
  <c r="BD18" i="6" s="1"/>
  <c r="AX18" i="6"/>
  <c r="AS19" i="6"/>
  <c r="AY19" i="6" s="1"/>
  <c r="AT19" i="6"/>
  <c r="AU19" i="6"/>
  <c r="BB19" i="6" s="1"/>
  <c r="AV19" i="6"/>
  <c r="BC19" i="6" s="1"/>
  <c r="AW19" i="6"/>
  <c r="BD19" i="6" s="1"/>
  <c r="AX19" i="6"/>
  <c r="AS20" i="6"/>
  <c r="AY20" i="6" s="1"/>
  <c r="AT20" i="6"/>
  <c r="AU20" i="6"/>
  <c r="BB20" i="6" s="1"/>
  <c r="AV20" i="6"/>
  <c r="BC20" i="6" s="1"/>
  <c r="AW20" i="6"/>
  <c r="BD20" i="6" s="1"/>
  <c r="AX20" i="6"/>
  <c r="AS21" i="6"/>
  <c r="AY21" i="6" s="1"/>
  <c r="AT21" i="6"/>
  <c r="AU21" i="6"/>
  <c r="BB21" i="6" s="1"/>
  <c r="AV21" i="6"/>
  <c r="BC21" i="6" s="1"/>
  <c r="AW21" i="6"/>
  <c r="BD21" i="6" s="1"/>
  <c r="AX21" i="6"/>
  <c r="AS22" i="6"/>
  <c r="AY22" i="6" s="1"/>
  <c r="AT22" i="6"/>
  <c r="AU22" i="6"/>
  <c r="BB22" i="6" s="1"/>
  <c r="AV22" i="6"/>
  <c r="BC22" i="6" s="1"/>
  <c r="AW22" i="6"/>
  <c r="BD22" i="6" s="1"/>
  <c r="AX22" i="6"/>
  <c r="AS23" i="6"/>
  <c r="AY23" i="6" s="1"/>
  <c r="AT23" i="6"/>
  <c r="AU23" i="6"/>
  <c r="BB23" i="6" s="1"/>
  <c r="AV23" i="6"/>
  <c r="BC23" i="6" s="1"/>
  <c r="AW23" i="6"/>
  <c r="BD23" i="6" s="1"/>
  <c r="AX23" i="6"/>
  <c r="AS24" i="6"/>
  <c r="AY24" i="6" s="1"/>
  <c r="AT24" i="6"/>
  <c r="AU24" i="6"/>
  <c r="BB24" i="6" s="1"/>
  <c r="AV24" i="6"/>
  <c r="BC24" i="6" s="1"/>
  <c r="AW24" i="6"/>
  <c r="BD24" i="6" s="1"/>
  <c r="AX24" i="6"/>
  <c r="AS25" i="6"/>
  <c r="AY25" i="6" s="1"/>
  <c r="AT25" i="6"/>
  <c r="AU25" i="6"/>
  <c r="BB25" i="6" s="1"/>
  <c r="AV25" i="6"/>
  <c r="BC25" i="6" s="1"/>
  <c r="AW25" i="6"/>
  <c r="BD25" i="6" s="1"/>
  <c r="AX25" i="6"/>
  <c r="AS26" i="6"/>
  <c r="AY26" i="6" s="1"/>
  <c r="AT26" i="6"/>
  <c r="AU26" i="6"/>
  <c r="BB26" i="6" s="1"/>
  <c r="AV26" i="6"/>
  <c r="BC26" i="6" s="1"/>
  <c r="AW26" i="6"/>
  <c r="BD26" i="6" s="1"/>
  <c r="AX26" i="6"/>
  <c r="AS27" i="6"/>
  <c r="AY27" i="6" s="1"/>
  <c r="AT27" i="6"/>
  <c r="AU27" i="6"/>
  <c r="BB27" i="6" s="1"/>
  <c r="AV27" i="6"/>
  <c r="BC27" i="6" s="1"/>
  <c r="AW27" i="6"/>
  <c r="BD27" i="6" s="1"/>
  <c r="AX27" i="6"/>
  <c r="AS28" i="6"/>
  <c r="AY28" i="6" s="1"/>
  <c r="AT28" i="6"/>
  <c r="AU28" i="6"/>
  <c r="BB28" i="6" s="1"/>
  <c r="AV28" i="6"/>
  <c r="BC28" i="6" s="1"/>
  <c r="AW28" i="6"/>
  <c r="BD28" i="6" s="1"/>
  <c r="AX28" i="6"/>
  <c r="AS29" i="6"/>
  <c r="AY29" i="6" s="1"/>
  <c r="AT29" i="6"/>
  <c r="AU29" i="6"/>
  <c r="BB29" i="6" s="1"/>
  <c r="AV29" i="6"/>
  <c r="BC29" i="6" s="1"/>
  <c r="AW29" i="6"/>
  <c r="BD29" i="6" s="1"/>
  <c r="AX29" i="6"/>
  <c r="AS30" i="6"/>
  <c r="AY30" i="6" s="1"/>
  <c r="AT30" i="6"/>
  <c r="AU30" i="6"/>
  <c r="BB30" i="6" s="1"/>
  <c r="AV30" i="6"/>
  <c r="BC30" i="6" s="1"/>
  <c r="AW30" i="6"/>
  <c r="BD30" i="6" s="1"/>
  <c r="AX30" i="6"/>
  <c r="AS31" i="6"/>
  <c r="AY31" i="6" s="1"/>
  <c r="AT31" i="6"/>
  <c r="AU31" i="6"/>
  <c r="BB31" i="6" s="1"/>
  <c r="AV31" i="6"/>
  <c r="BC31" i="6" s="1"/>
  <c r="AW31" i="6"/>
  <c r="BD31" i="6" s="1"/>
  <c r="AX31" i="6"/>
  <c r="AS5" i="6"/>
  <c r="AY5" i="6" s="1"/>
  <c r="AT5" i="6"/>
  <c r="AU5" i="6"/>
  <c r="BB5" i="6" s="1"/>
  <c r="AV5" i="6"/>
  <c r="BC5" i="6" s="1"/>
  <c r="AW5" i="6"/>
  <c r="BD5" i="6" s="1"/>
  <c r="AX5" i="6"/>
  <c r="AS6" i="6"/>
  <c r="AY6" i="6" s="1"/>
  <c r="AT6" i="6"/>
  <c r="AU6" i="6"/>
  <c r="BB6" i="6" s="1"/>
  <c r="AV6" i="6"/>
  <c r="BC6" i="6" s="1"/>
  <c r="AW6" i="6"/>
  <c r="BD6" i="6" s="1"/>
  <c r="AX6" i="6"/>
  <c r="AS7" i="6"/>
  <c r="AY7" i="6" s="1"/>
  <c r="AT7" i="6"/>
  <c r="AU7" i="6"/>
  <c r="BB7" i="6" s="1"/>
  <c r="AV7" i="6"/>
  <c r="BC7" i="6" s="1"/>
  <c r="AW7" i="6"/>
  <c r="BD7" i="6" s="1"/>
  <c r="AX7" i="6"/>
  <c r="AS8" i="6"/>
  <c r="AY8" i="6" s="1"/>
  <c r="AT8" i="6"/>
  <c r="AU8" i="6"/>
  <c r="BB8" i="6" s="1"/>
  <c r="AV8" i="6"/>
  <c r="BC8" i="6" s="1"/>
  <c r="AW8" i="6"/>
  <c r="BD8" i="6" s="1"/>
  <c r="AX8" i="6"/>
  <c r="AS9" i="6"/>
  <c r="AY9" i="6" s="1"/>
  <c r="AT9" i="6"/>
  <c r="AU9" i="6"/>
  <c r="BB9" i="6" s="1"/>
  <c r="AV9" i="6"/>
  <c r="BC9" i="6" s="1"/>
  <c r="AW9" i="6"/>
  <c r="BD9" i="6" s="1"/>
  <c r="AX9" i="6"/>
  <c r="AS10" i="6"/>
  <c r="AY10" i="6" s="1"/>
  <c r="AT10" i="6"/>
  <c r="AU10" i="6"/>
  <c r="BB10" i="6" s="1"/>
  <c r="AV10" i="6"/>
  <c r="BC10" i="6" s="1"/>
  <c r="AW10" i="6"/>
  <c r="BD10" i="6" s="1"/>
  <c r="AX10" i="6"/>
  <c r="AS11" i="6"/>
  <c r="AY11" i="6" s="1"/>
  <c r="AT11" i="6"/>
  <c r="AU11" i="6"/>
  <c r="BB11" i="6" s="1"/>
  <c r="AV11" i="6"/>
  <c r="BC11" i="6" s="1"/>
  <c r="AW11" i="6"/>
  <c r="BD11" i="6" s="1"/>
  <c r="AX11" i="6"/>
  <c r="AS12" i="6"/>
  <c r="AY12" i="6" s="1"/>
  <c r="AT12" i="6"/>
  <c r="AU12" i="6"/>
  <c r="BB12" i="6" s="1"/>
  <c r="AV12" i="6"/>
  <c r="BC12" i="6" s="1"/>
  <c r="AW12" i="6"/>
  <c r="BD12" i="6" s="1"/>
  <c r="AX12" i="6"/>
  <c r="AS13" i="6"/>
  <c r="AY13" i="6" s="1"/>
  <c r="AT13" i="6"/>
  <c r="AU13" i="6"/>
  <c r="BB13" i="6" s="1"/>
  <c r="AV13" i="6"/>
  <c r="BC13" i="6" s="1"/>
  <c r="AW13" i="6"/>
  <c r="BD13" i="6" s="1"/>
  <c r="AX13" i="6"/>
  <c r="AS14" i="6"/>
  <c r="AY14" i="6" s="1"/>
  <c r="AT14" i="6"/>
  <c r="AU14" i="6"/>
  <c r="BB14" i="6" s="1"/>
  <c r="AV14" i="6"/>
  <c r="BC14" i="6" s="1"/>
  <c r="AW14" i="6"/>
  <c r="BD14" i="6" s="1"/>
  <c r="AX14" i="6"/>
  <c r="AT4" i="6"/>
  <c r="AU4" i="6"/>
  <c r="BB4" i="6" s="1"/>
  <c r="AV4" i="6"/>
  <c r="BC4" i="6" s="1"/>
  <c r="AW4" i="6"/>
  <c r="BD4" i="6" s="1"/>
  <c r="AX4" i="6"/>
  <c r="AS4" i="6"/>
  <c r="AY4" i="6" s="1"/>
  <c r="BA13" i="6" l="1"/>
  <c r="AZ13" i="6"/>
  <c r="BA11" i="6"/>
  <c r="AZ11" i="6"/>
  <c r="BA9" i="6"/>
  <c r="AZ9" i="6"/>
  <c r="BA7" i="6"/>
  <c r="AZ7" i="6"/>
  <c r="BA5" i="6"/>
  <c r="AZ5" i="6"/>
  <c r="BA30" i="6"/>
  <c r="AZ30" i="6"/>
  <c r="BA28" i="6"/>
  <c r="AZ28" i="6"/>
  <c r="BA26" i="6"/>
  <c r="AZ26" i="6"/>
  <c r="BA24" i="6"/>
  <c r="AZ24" i="6"/>
  <c r="BA22" i="6"/>
  <c r="AZ22" i="6"/>
  <c r="BA20" i="6"/>
  <c r="AZ20" i="6"/>
  <c r="BA18" i="6"/>
  <c r="AZ18" i="6"/>
  <c r="BA16" i="6"/>
  <c r="AZ16" i="6"/>
  <c r="BA55" i="6"/>
  <c r="AZ55" i="6"/>
  <c r="BA53" i="6"/>
  <c r="AZ53" i="6"/>
  <c r="BA51" i="6"/>
  <c r="AZ51" i="6"/>
  <c r="BA49" i="6"/>
  <c r="AZ49" i="6"/>
  <c r="BA47" i="6"/>
  <c r="AZ47" i="6"/>
  <c r="BA45" i="6"/>
  <c r="AZ45" i="6"/>
  <c r="BA43" i="6"/>
  <c r="AZ43" i="6"/>
  <c r="BA41" i="6"/>
  <c r="AZ41" i="6"/>
  <c r="BA39" i="6"/>
  <c r="AZ39" i="6"/>
  <c r="BA37" i="6"/>
  <c r="AZ37" i="6"/>
  <c r="BA35" i="6"/>
  <c r="AZ35" i="6"/>
  <c r="BA33" i="6"/>
  <c r="AZ33" i="6"/>
  <c r="DF4" i="6"/>
  <c r="DG4" i="6"/>
  <c r="DF6" i="6"/>
  <c r="DG6" i="6"/>
  <c r="DF8" i="6"/>
  <c r="DG8" i="6"/>
  <c r="DF10" i="6"/>
  <c r="DG10" i="6"/>
  <c r="DF12" i="6"/>
  <c r="DG12" i="6"/>
  <c r="DF14" i="6"/>
  <c r="DG14" i="6"/>
  <c r="DF16" i="6"/>
  <c r="DG16" i="6"/>
  <c r="DF18" i="6"/>
  <c r="DG18" i="6"/>
  <c r="DF20" i="6"/>
  <c r="DG20" i="6"/>
  <c r="DF22" i="6"/>
  <c r="DG22" i="6"/>
  <c r="DF24" i="6"/>
  <c r="DG24" i="6"/>
  <c r="DF26" i="6"/>
  <c r="DG26" i="6"/>
  <c r="DF28" i="6"/>
  <c r="DG28" i="6"/>
  <c r="DF30" i="6"/>
  <c r="DG30" i="6"/>
  <c r="DF32" i="6"/>
  <c r="DG32" i="6"/>
  <c r="DF34" i="6"/>
  <c r="DG34" i="6"/>
  <c r="DF36" i="6"/>
  <c r="DG36" i="6"/>
  <c r="DF38" i="6"/>
  <c r="DG38" i="6"/>
  <c r="DF40" i="6"/>
  <c r="DG40" i="6"/>
  <c r="DF42" i="6"/>
  <c r="DG42" i="6"/>
  <c r="DF44" i="6"/>
  <c r="DG44" i="6"/>
  <c r="DF46" i="6"/>
  <c r="DG46" i="6"/>
  <c r="DF48" i="6"/>
  <c r="DG48" i="6"/>
  <c r="DF50" i="6"/>
  <c r="DG50" i="6"/>
  <c r="DF52" i="6"/>
  <c r="DG52" i="6"/>
  <c r="DF54" i="6"/>
  <c r="DG54" i="6"/>
  <c r="S59" i="7"/>
  <c r="BA4" i="6"/>
  <c r="AZ4" i="6"/>
  <c r="BA14" i="6"/>
  <c r="AZ14" i="6"/>
  <c r="BA12" i="6"/>
  <c r="AZ12" i="6"/>
  <c r="BA10" i="6"/>
  <c r="AZ10" i="6"/>
  <c r="BA8" i="6"/>
  <c r="AZ8" i="6"/>
  <c r="BA6" i="6"/>
  <c r="AZ6" i="6"/>
  <c r="BA31" i="6"/>
  <c r="AZ31" i="6"/>
  <c r="BA29" i="6"/>
  <c r="AZ29" i="6"/>
  <c r="BA27" i="6"/>
  <c r="AZ27" i="6"/>
  <c r="BA25" i="6"/>
  <c r="AZ25" i="6"/>
  <c r="BA23" i="6"/>
  <c r="AZ23" i="6"/>
  <c r="BA21" i="6"/>
  <c r="AZ21" i="6"/>
  <c r="BA19" i="6"/>
  <c r="AZ19" i="6"/>
  <c r="BA17" i="6"/>
  <c r="AZ17" i="6"/>
  <c r="BA15" i="6"/>
  <c r="AZ15" i="6"/>
  <c r="BA54" i="6"/>
  <c r="AZ54" i="6"/>
  <c r="BA52" i="6"/>
  <c r="AZ52" i="6"/>
  <c r="BA50" i="6"/>
  <c r="AZ50" i="6"/>
  <c r="BA48" i="6"/>
  <c r="AZ48" i="6"/>
  <c r="BA46" i="6"/>
  <c r="AZ46" i="6"/>
  <c r="BA44" i="6"/>
  <c r="AZ44" i="6"/>
  <c r="BA42" i="6"/>
  <c r="AZ42" i="6"/>
  <c r="BA40" i="6"/>
  <c r="AZ40" i="6"/>
  <c r="BA38" i="6"/>
  <c r="AZ38" i="6"/>
  <c r="BA36" i="6"/>
  <c r="AZ36" i="6"/>
  <c r="BA34" i="6"/>
  <c r="AZ34" i="6"/>
  <c r="BA32" i="6"/>
  <c r="AZ32" i="6"/>
  <c r="DF5" i="6"/>
  <c r="DG5" i="6"/>
  <c r="DF7" i="6"/>
  <c r="DG7" i="6"/>
  <c r="DF9" i="6"/>
  <c r="DG9" i="6"/>
  <c r="DF11" i="6"/>
  <c r="DG11" i="6"/>
  <c r="DF13" i="6"/>
  <c r="DG13" i="6"/>
  <c r="DF15" i="6"/>
  <c r="DG15" i="6"/>
  <c r="DF17" i="6"/>
  <c r="DG17" i="6"/>
  <c r="DF19" i="6"/>
  <c r="DG19" i="6"/>
  <c r="DF21" i="6"/>
  <c r="DG21" i="6"/>
  <c r="DF23" i="6"/>
  <c r="DG23" i="6"/>
  <c r="DF25" i="6"/>
  <c r="DG25" i="6"/>
  <c r="DF27" i="6"/>
  <c r="DG27" i="6"/>
  <c r="DF29" i="6"/>
  <c r="DG29" i="6"/>
  <c r="DF31" i="6"/>
  <c r="DG31" i="6"/>
  <c r="DF33" i="6"/>
  <c r="DG33" i="6"/>
  <c r="DF35" i="6"/>
  <c r="DG35" i="6"/>
  <c r="DF37" i="6"/>
  <c r="DG37" i="6"/>
  <c r="DF39" i="6"/>
  <c r="DG39" i="6"/>
  <c r="DF41" i="6"/>
  <c r="DG41" i="6"/>
  <c r="DF43" i="6"/>
  <c r="DG43" i="6"/>
  <c r="DF45" i="6"/>
  <c r="DG45" i="6"/>
  <c r="DF47" i="6"/>
  <c r="DG47" i="6"/>
  <c r="DF49" i="6"/>
  <c r="DG49" i="6"/>
  <c r="DF51" i="6"/>
  <c r="DG51" i="6"/>
  <c r="DF53" i="6"/>
  <c r="DG53" i="6"/>
  <c r="DF55" i="6"/>
  <c r="DG55" i="6"/>
  <c r="K171" i="1"/>
  <c r="R28" i="10" s="1"/>
  <c r="Q28" i="10"/>
  <c r="J146" i="1"/>
  <c r="DG60" i="6" l="1"/>
  <c r="AZ60" i="6"/>
  <c r="K146" i="1"/>
  <c r="R24" i="10" s="1"/>
  <c r="Q24" i="10"/>
  <c r="R54" i="2"/>
  <c r="R53" i="2"/>
  <c r="R52" i="2"/>
  <c r="D59" i="2"/>
  <c r="E59" i="2"/>
  <c r="F59" i="2"/>
  <c r="G59" i="2"/>
  <c r="H59" i="2"/>
  <c r="I59" i="2"/>
  <c r="J59" i="2"/>
  <c r="C59" i="2"/>
  <c r="R4" i="2"/>
  <c r="R6" i="2"/>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3" i="2"/>
  <c r="CC41" i="6" l="1"/>
  <c r="V41" i="6"/>
  <c r="CA40" i="6"/>
  <c r="CC39" i="6"/>
  <c r="V39" i="6"/>
  <c r="CC37" i="6"/>
  <c r="V37" i="6"/>
  <c r="CC35" i="6"/>
  <c r="V35" i="6"/>
  <c r="CA34" i="6"/>
  <c r="CC33" i="6"/>
  <c r="V33" i="6"/>
  <c r="CA32" i="6"/>
  <c r="CA30" i="6"/>
  <c r="V29" i="6"/>
  <c r="CC29" i="6"/>
  <c r="CC27" i="6"/>
  <c r="V27" i="6"/>
  <c r="CC25" i="6"/>
  <c r="V25" i="6"/>
  <c r="CC23" i="6"/>
  <c r="V23" i="6"/>
  <c r="CA22" i="6"/>
  <c r="CC21" i="6"/>
  <c r="V21" i="6"/>
  <c r="CA20" i="6"/>
  <c r="CC15" i="6"/>
  <c r="V15" i="6"/>
  <c r="CB41" i="6"/>
  <c r="U41" i="6"/>
  <c r="BY40" i="6"/>
  <c r="R40" i="6"/>
  <c r="CB39" i="6"/>
  <c r="U39" i="6"/>
  <c r="CB37" i="6"/>
  <c r="U37" i="6"/>
  <c r="CB35" i="6"/>
  <c r="U35" i="6"/>
  <c r="BY34" i="6"/>
  <c r="R34" i="6"/>
  <c r="CB33" i="6"/>
  <c r="U33" i="6"/>
  <c r="BY32" i="6"/>
  <c r="R32" i="6"/>
  <c r="CD30" i="6"/>
  <c r="W30" i="6"/>
  <c r="BY30" i="6"/>
  <c r="R30" i="6"/>
  <c r="CB29" i="6"/>
  <c r="U29" i="6"/>
  <c r="CD28" i="6"/>
  <c r="W28" i="6"/>
  <c r="CB27" i="6"/>
  <c r="U27" i="6"/>
  <c r="CD26" i="6"/>
  <c r="W26" i="6"/>
  <c r="CB25" i="6"/>
  <c r="U25" i="6"/>
  <c r="CD24" i="6"/>
  <c r="W24" i="6"/>
  <c r="CB23" i="6"/>
  <c r="U23" i="6"/>
  <c r="CD22" i="6"/>
  <c r="W22" i="6"/>
  <c r="BY22" i="6"/>
  <c r="R22" i="6"/>
  <c r="CB21" i="6"/>
  <c r="U21" i="6"/>
  <c r="CD20" i="6"/>
  <c r="W20" i="6"/>
  <c r="BY20" i="6"/>
  <c r="R20" i="6"/>
  <c r="CD18" i="6"/>
  <c r="W18" i="6"/>
  <c r="CD16" i="6"/>
  <c r="W16" i="6"/>
  <c r="U15" i="6"/>
  <c r="CB15" i="6"/>
  <c r="CA41" i="6"/>
  <c r="CC40" i="6"/>
  <c r="V40" i="6"/>
  <c r="CA39" i="6"/>
  <c r="CA37" i="6"/>
  <c r="CA35" i="6"/>
  <c r="CC34" i="6"/>
  <c r="V34" i="6"/>
  <c r="CA33" i="6"/>
  <c r="CC32" i="6"/>
  <c r="V32" i="6"/>
  <c r="V30" i="6"/>
  <c r="CC30" i="6"/>
  <c r="CA29" i="6"/>
  <c r="CA27" i="6"/>
  <c r="CA25" i="6"/>
  <c r="CA23" i="6"/>
  <c r="CC22" i="6"/>
  <c r="V22" i="6"/>
  <c r="CA21" i="6"/>
  <c r="CC20" i="6"/>
  <c r="V20" i="6"/>
  <c r="CC16" i="6"/>
  <c r="V16" i="6"/>
  <c r="CA15" i="6"/>
  <c r="CC14" i="6"/>
  <c r="V14" i="6"/>
  <c r="BY41" i="6"/>
  <c r="R41" i="6"/>
  <c r="CB40" i="6"/>
  <c r="U40" i="6"/>
  <c r="BY39" i="6"/>
  <c r="R39" i="6"/>
  <c r="BY37" i="6"/>
  <c r="R37" i="6"/>
  <c r="BY35" i="6"/>
  <c r="R35" i="6"/>
  <c r="CB34" i="6"/>
  <c r="U34" i="6"/>
  <c r="BY33" i="6"/>
  <c r="R33" i="6"/>
  <c r="CB32" i="6"/>
  <c r="U32" i="6"/>
  <c r="CD31" i="6"/>
  <c r="W31" i="6"/>
  <c r="CB30" i="6"/>
  <c r="U30" i="6"/>
  <c r="CD29" i="6"/>
  <c r="W29" i="6"/>
  <c r="R29" i="6"/>
  <c r="BY29" i="6"/>
  <c r="CD27" i="6"/>
  <c r="W27" i="6"/>
  <c r="R27" i="6"/>
  <c r="BY27" i="6"/>
  <c r="CD25" i="6"/>
  <c r="W25" i="6"/>
  <c r="R25" i="6"/>
  <c r="BY25" i="6"/>
  <c r="CD23" i="6"/>
  <c r="W23" i="6"/>
  <c r="R23" i="6"/>
  <c r="BY23" i="6"/>
  <c r="CB22" i="6"/>
  <c r="U22" i="6"/>
  <c r="CD21" i="6"/>
  <c r="W21" i="6"/>
  <c r="R21" i="6"/>
  <c r="BY21" i="6"/>
  <c r="CB20" i="6"/>
  <c r="U20" i="6"/>
  <c r="CD19" i="6"/>
  <c r="W19" i="6"/>
  <c r="CD17" i="6"/>
  <c r="W17" i="6"/>
  <c r="CB16" i="6"/>
  <c r="U16" i="6"/>
  <c r="CD15" i="6"/>
  <c r="CD60" i="6" s="1"/>
  <c r="W15" i="6"/>
  <c r="BY15" i="6"/>
  <c r="R15" i="6"/>
  <c r="U14" i="6"/>
  <c r="CB14" i="6"/>
  <c r="T3" i="2"/>
  <c r="CN4" i="6"/>
  <c r="AG4" i="6"/>
  <c r="BS4" i="6"/>
  <c r="L4" i="6"/>
  <c r="T51" i="2"/>
  <c r="CN52" i="6"/>
  <c r="AG52" i="6"/>
  <c r="BS52" i="6"/>
  <c r="L52" i="6"/>
  <c r="T49" i="2"/>
  <c r="CN50" i="6"/>
  <c r="AG50" i="6"/>
  <c r="L50" i="6"/>
  <c r="BS50" i="6"/>
  <c r="T47" i="2"/>
  <c r="CN48" i="6"/>
  <c r="AG48" i="6"/>
  <c r="BS48" i="6"/>
  <c r="L48" i="6"/>
  <c r="T45" i="2"/>
  <c r="CN46" i="6"/>
  <c r="AG46" i="6"/>
  <c r="L46" i="6"/>
  <c r="BS46" i="6"/>
  <c r="T43" i="2"/>
  <c r="CN44" i="6"/>
  <c r="AG44" i="6"/>
  <c r="BS44" i="6"/>
  <c r="L44" i="6"/>
  <c r="T41" i="2"/>
  <c r="CN42" i="6"/>
  <c r="AG42" i="6"/>
  <c r="L42" i="6"/>
  <c r="BS42" i="6"/>
  <c r="T39" i="2"/>
  <c r="CN40" i="6"/>
  <c r="AG40" i="6"/>
  <c r="BS40" i="6"/>
  <c r="L40" i="6"/>
  <c r="T37" i="2"/>
  <c r="CN38" i="6"/>
  <c r="AG38" i="6"/>
  <c r="L38" i="6"/>
  <c r="BS38" i="6"/>
  <c r="T35" i="2"/>
  <c r="CN36" i="6"/>
  <c r="BS36" i="6"/>
  <c r="L36" i="6"/>
  <c r="AG36" i="6"/>
  <c r="T33" i="2"/>
  <c r="CN34" i="6"/>
  <c r="AG34" i="6"/>
  <c r="L34" i="6"/>
  <c r="BS34" i="6"/>
  <c r="T31" i="2"/>
  <c r="CN32" i="6"/>
  <c r="AG32" i="6"/>
  <c r="BS32" i="6"/>
  <c r="L32" i="6"/>
  <c r="T29" i="2"/>
  <c r="CN30" i="6"/>
  <c r="AG30" i="6"/>
  <c r="L30" i="6"/>
  <c r="BS30" i="6"/>
  <c r="T27" i="2"/>
  <c r="CN28" i="6"/>
  <c r="BS28" i="6"/>
  <c r="AG28" i="6"/>
  <c r="L28" i="6"/>
  <c r="T25" i="2"/>
  <c r="CN26" i="6"/>
  <c r="AG26" i="6"/>
  <c r="L26" i="6"/>
  <c r="BS26" i="6"/>
  <c r="T23" i="2"/>
  <c r="CN24" i="6"/>
  <c r="AG24" i="6"/>
  <c r="BS24" i="6"/>
  <c r="L24" i="6"/>
  <c r="T21" i="2"/>
  <c r="CN22" i="6"/>
  <c r="AG22" i="6"/>
  <c r="L22" i="6"/>
  <c r="BS22" i="6"/>
  <c r="T19" i="2"/>
  <c r="CN20" i="6"/>
  <c r="AG20" i="6"/>
  <c r="BS20" i="6"/>
  <c r="L20" i="6"/>
  <c r="T17" i="2"/>
  <c r="CN18" i="6"/>
  <c r="AG18" i="6"/>
  <c r="L18" i="6"/>
  <c r="BS18" i="6"/>
  <c r="T15" i="2"/>
  <c r="CN16" i="6"/>
  <c r="AG16" i="6"/>
  <c r="BS16" i="6"/>
  <c r="L16" i="6"/>
  <c r="T13" i="2"/>
  <c r="CN14" i="6"/>
  <c r="AG14" i="6"/>
  <c r="L14" i="6"/>
  <c r="BS14" i="6"/>
  <c r="T11" i="2"/>
  <c r="CN12" i="6"/>
  <c r="AG12" i="6"/>
  <c r="BS12" i="6"/>
  <c r="L12" i="6"/>
  <c r="T9" i="2"/>
  <c r="CN10" i="6"/>
  <c r="AG10" i="6"/>
  <c r="L10" i="6"/>
  <c r="BS10" i="6"/>
  <c r="T7" i="2"/>
  <c r="CN8" i="6"/>
  <c r="AG8" i="6"/>
  <c r="BS8" i="6"/>
  <c r="L8" i="6"/>
  <c r="T5" i="2"/>
  <c r="CN6" i="6"/>
  <c r="AG6" i="6"/>
  <c r="L6" i="6"/>
  <c r="BS6" i="6"/>
  <c r="S52" i="2"/>
  <c r="CN53" i="6"/>
  <c r="AG53" i="6"/>
  <c r="BS53" i="6"/>
  <c r="L53" i="6"/>
  <c r="T53" i="2"/>
  <c r="CN54" i="6"/>
  <c r="AG54" i="6"/>
  <c r="L54" i="6"/>
  <c r="BS54" i="6"/>
  <c r="O59" i="2"/>
  <c r="H58" i="1" s="1"/>
  <c r="T50" i="2"/>
  <c r="CN51" i="6"/>
  <c r="AG51" i="6"/>
  <c r="BS51" i="6"/>
  <c r="L51" i="6"/>
  <c r="T48" i="2"/>
  <c r="CN49" i="6"/>
  <c r="AG49" i="6"/>
  <c r="BS49" i="6"/>
  <c r="L49" i="6"/>
  <c r="T46" i="2"/>
  <c r="CN47" i="6"/>
  <c r="AG47" i="6"/>
  <c r="BS47" i="6"/>
  <c r="L47" i="6"/>
  <c r="T44" i="2"/>
  <c r="CN45" i="6"/>
  <c r="AG45" i="6"/>
  <c r="BS45" i="6"/>
  <c r="L45" i="6"/>
  <c r="T42" i="2"/>
  <c r="CN43" i="6"/>
  <c r="AG43" i="6"/>
  <c r="BS43" i="6"/>
  <c r="L43" i="6"/>
  <c r="T40" i="2"/>
  <c r="CN41" i="6"/>
  <c r="AG41" i="6"/>
  <c r="BS41" i="6"/>
  <c r="L41" i="6"/>
  <c r="T38" i="2"/>
  <c r="CN39" i="6"/>
  <c r="AG39" i="6"/>
  <c r="BS39" i="6"/>
  <c r="L39" i="6"/>
  <c r="T36" i="2"/>
  <c r="CN37" i="6"/>
  <c r="AG37" i="6"/>
  <c r="BS37" i="6"/>
  <c r="L37" i="6"/>
  <c r="T34" i="2"/>
  <c r="CN35" i="6"/>
  <c r="AG35" i="6"/>
  <c r="BS35" i="6"/>
  <c r="L35" i="6"/>
  <c r="T32" i="2"/>
  <c r="CN33" i="6"/>
  <c r="AG33" i="6"/>
  <c r="BS33" i="6"/>
  <c r="L33" i="6"/>
  <c r="T30" i="2"/>
  <c r="CN31" i="6"/>
  <c r="AG31" i="6"/>
  <c r="BS31" i="6"/>
  <c r="L31" i="6"/>
  <c r="T28" i="2"/>
  <c r="CN29" i="6"/>
  <c r="AG29" i="6"/>
  <c r="BS29" i="6"/>
  <c r="L29" i="6"/>
  <c r="T26" i="2"/>
  <c r="AG27" i="6"/>
  <c r="CN27" i="6"/>
  <c r="BS27" i="6"/>
  <c r="L27" i="6"/>
  <c r="T24" i="2"/>
  <c r="CN25" i="6"/>
  <c r="AG25" i="6"/>
  <c r="BS25" i="6"/>
  <c r="L25" i="6"/>
  <c r="T22" i="2"/>
  <c r="CN23" i="6"/>
  <c r="AG23" i="6"/>
  <c r="BS23" i="6"/>
  <c r="L23" i="6"/>
  <c r="T20" i="2"/>
  <c r="CN21" i="6"/>
  <c r="AG21" i="6"/>
  <c r="BS21" i="6"/>
  <c r="L21" i="6"/>
  <c r="T18" i="2"/>
  <c r="CN19" i="6"/>
  <c r="AG19" i="6"/>
  <c r="BS19" i="6"/>
  <c r="L19" i="6"/>
  <c r="T16" i="2"/>
  <c r="AG17" i="6"/>
  <c r="CN17" i="6"/>
  <c r="BS17" i="6"/>
  <c r="L17" i="6"/>
  <c r="T14" i="2"/>
  <c r="CN15" i="6"/>
  <c r="AG15" i="6"/>
  <c r="BS15" i="6"/>
  <c r="L15" i="6"/>
  <c r="T12" i="2"/>
  <c r="CN13" i="6"/>
  <c r="AG13" i="6"/>
  <c r="BS13" i="6"/>
  <c r="L13" i="6"/>
  <c r="T10" i="2"/>
  <c r="CN11" i="6"/>
  <c r="AG11" i="6"/>
  <c r="BS11" i="6"/>
  <c r="L11" i="6"/>
  <c r="T8" i="2"/>
  <c r="CN9" i="6"/>
  <c r="AG9" i="6"/>
  <c r="BS9" i="6"/>
  <c r="L9" i="6"/>
  <c r="T6" i="2"/>
  <c r="CN7" i="6"/>
  <c r="AG7" i="6"/>
  <c r="BS7" i="6"/>
  <c r="L7" i="6"/>
  <c r="T4" i="2"/>
  <c r="AG5" i="6"/>
  <c r="CN5" i="6"/>
  <c r="BS5" i="6"/>
  <c r="L5" i="6"/>
  <c r="S54" i="2"/>
  <c r="CN55" i="6"/>
  <c r="AG55" i="6"/>
  <c r="BS55" i="6"/>
  <c r="L55" i="6"/>
  <c r="P59" i="2"/>
  <c r="I58" i="1" s="1"/>
  <c r="R59" i="2"/>
  <c r="S3"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S10" i="2"/>
  <c r="S9" i="2"/>
  <c r="S8" i="2"/>
  <c r="S7" i="2"/>
  <c r="S6" i="2"/>
  <c r="S5" i="2"/>
  <c r="S4" i="2"/>
  <c r="V3" i="2"/>
  <c r="V51" i="2"/>
  <c r="V50" i="2"/>
  <c r="V49" i="2"/>
  <c r="V48" i="2"/>
  <c r="V47" i="2"/>
  <c r="V46" i="2"/>
  <c r="V45" i="2"/>
  <c r="V44" i="2"/>
  <c r="V43" i="2"/>
  <c r="V42" i="2"/>
  <c r="V41" i="2"/>
  <c r="V40" i="2"/>
  <c r="V39" i="2"/>
  <c r="V38" i="2"/>
  <c r="V37" i="2"/>
  <c r="V36" i="2"/>
  <c r="V35" i="2"/>
  <c r="V34" i="2"/>
  <c r="V33" i="2"/>
  <c r="V32" i="2"/>
  <c r="V31" i="2"/>
  <c r="V30" i="2"/>
  <c r="V29" i="2"/>
  <c r="V28" i="2"/>
  <c r="V27" i="2"/>
  <c r="V26" i="2"/>
  <c r="V25" i="2"/>
  <c r="V24" i="2"/>
  <c r="V23" i="2"/>
  <c r="V22" i="2"/>
  <c r="V21" i="2"/>
  <c r="V20" i="2"/>
  <c r="V19" i="2"/>
  <c r="V18" i="2"/>
  <c r="V17" i="2"/>
  <c r="V16" i="2"/>
  <c r="V15" i="2"/>
  <c r="V14" i="2"/>
  <c r="V13" i="2"/>
  <c r="V12" i="2"/>
  <c r="V11" i="2"/>
  <c r="V10" i="2"/>
  <c r="V9" i="2"/>
  <c r="V8" i="2"/>
  <c r="V7" i="2"/>
  <c r="V6" i="2"/>
  <c r="V5" i="2"/>
  <c r="V4" i="2"/>
  <c r="U3"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U7" i="2"/>
  <c r="U6" i="2"/>
  <c r="U5" i="2"/>
  <c r="U4" i="2"/>
  <c r="T54" i="2"/>
  <c r="S53" i="2"/>
  <c r="T52" i="2"/>
  <c r="V210" i="1"/>
  <c r="V207" i="1"/>
  <c r="U209" i="1" s="1"/>
  <c r="K203" i="1"/>
  <c r="J203" i="1"/>
  <c r="U203" i="1"/>
  <c r="K197" i="1"/>
  <c r="J197" i="1"/>
  <c r="U197" i="1"/>
  <c r="U191" i="1"/>
  <c r="K191" i="1"/>
  <c r="J191" i="1"/>
  <c r="U179" i="1"/>
  <c r="K179" i="1"/>
  <c r="J179" i="1"/>
  <c r="K173" i="1"/>
  <c r="J173" i="1"/>
  <c r="U173" i="1"/>
  <c r="K167" i="1"/>
  <c r="J167" i="1"/>
  <c r="U167" i="1"/>
  <c r="B68" i="1"/>
  <c r="U154" i="1"/>
  <c r="U148" i="1"/>
  <c r="K148" i="1"/>
  <c r="J148" i="1"/>
  <c r="J131" i="1"/>
  <c r="K119" i="1"/>
  <c r="J119" i="1"/>
  <c r="U117" i="1"/>
  <c r="U119" i="1" s="1"/>
  <c r="K113" i="1"/>
  <c r="J113" i="1"/>
  <c r="U111" i="1"/>
  <c r="U113" i="1" s="1"/>
  <c r="U98" i="1"/>
  <c r="U92" i="1"/>
  <c r="V91" i="1"/>
  <c r="U84" i="1"/>
  <c r="V77" i="1"/>
  <c r="B70" i="1"/>
  <c r="U64" i="1"/>
  <c r="V63" i="1"/>
  <c r="U60" i="1"/>
  <c r="U54" i="1"/>
  <c r="V53" i="1"/>
  <c r="V51" i="1"/>
  <c r="U46" i="1"/>
  <c r="U40" i="1"/>
  <c r="V37" i="1"/>
  <c r="U74" i="1"/>
  <c r="U78" i="1" s="1"/>
  <c r="U32" i="1"/>
  <c r="CA60" i="6" l="1"/>
  <c r="F88" i="1" s="1"/>
  <c r="W60" i="6"/>
  <c r="I88" i="1" s="1"/>
  <c r="U60" i="6"/>
  <c r="CC60" i="6"/>
  <c r="BY60" i="6"/>
  <c r="H60" i="1"/>
  <c r="H61" i="1"/>
  <c r="R60" i="6"/>
  <c r="I61" i="1"/>
  <c r="I60" i="1"/>
  <c r="CB60" i="6"/>
  <c r="V60" i="6"/>
  <c r="I60" i="6"/>
  <c r="H50" i="1" s="1"/>
  <c r="CL60" i="6"/>
  <c r="CI60" i="6"/>
  <c r="CN60" i="6"/>
  <c r="CJ60" i="6"/>
  <c r="G96" i="1" s="1"/>
  <c r="CK60" i="6"/>
  <c r="H96" i="1" s="1"/>
  <c r="BL60" i="6"/>
  <c r="L60" i="6"/>
  <c r="BP60" i="6"/>
  <c r="BQ60" i="6"/>
  <c r="E60" i="6"/>
  <c r="BN60" i="6"/>
  <c r="F36" i="1" s="1"/>
  <c r="BS60" i="6"/>
  <c r="BO60" i="6"/>
  <c r="J60" i="6"/>
  <c r="I50" i="1" s="1"/>
  <c r="CG60" i="6"/>
  <c r="G60" i="6"/>
  <c r="F50" i="1" s="1"/>
  <c r="AG60" i="6"/>
  <c r="H60" i="6"/>
  <c r="G50" i="1" s="1"/>
  <c r="Q3" i="2"/>
  <c r="AF4" i="6" s="1"/>
  <c r="T59" i="2"/>
  <c r="BV7" i="6"/>
  <c r="BW7" i="6"/>
  <c r="BT7" i="6"/>
  <c r="BU7" i="6"/>
  <c r="O9" i="6"/>
  <c r="N9" i="6"/>
  <c r="M9" i="6"/>
  <c r="P9" i="6"/>
  <c r="DM11" i="6"/>
  <c r="CP11" i="6"/>
  <c r="CR11" i="6"/>
  <c r="CO11" i="6"/>
  <c r="CQ11" i="6"/>
  <c r="CQ19" i="6"/>
  <c r="DM19" i="6"/>
  <c r="CP19" i="6"/>
  <c r="CR19" i="6"/>
  <c r="CO19" i="6"/>
  <c r="BV23" i="6"/>
  <c r="BW23" i="6"/>
  <c r="BU23" i="6"/>
  <c r="BT23" i="6"/>
  <c r="AK29" i="6"/>
  <c r="AH29" i="6"/>
  <c r="AI29" i="6"/>
  <c r="BF29" i="6"/>
  <c r="AJ29" i="6"/>
  <c r="O33" i="6"/>
  <c r="N33" i="6"/>
  <c r="M33" i="6"/>
  <c r="P33" i="6"/>
  <c r="AH37" i="6"/>
  <c r="AK37" i="6"/>
  <c r="AJ37" i="6"/>
  <c r="AI37" i="6"/>
  <c r="BF37" i="6"/>
  <c r="BT39" i="6"/>
  <c r="BU39" i="6"/>
  <c r="BW39" i="6"/>
  <c r="BV39" i="6"/>
  <c r="O41" i="6"/>
  <c r="N41" i="6"/>
  <c r="M41" i="6"/>
  <c r="P41" i="6"/>
  <c r="AH45" i="6"/>
  <c r="AK45" i="6"/>
  <c r="AI45" i="6"/>
  <c r="BF45" i="6"/>
  <c r="AJ45" i="6"/>
  <c r="BT47" i="6"/>
  <c r="BU47" i="6"/>
  <c r="BW47" i="6"/>
  <c r="BV47" i="6"/>
  <c r="O49" i="6"/>
  <c r="N49" i="6"/>
  <c r="M49" i="6"/>
  <c r="P49" i="6"/>
  <c r="CQ51" i="6"/>
  <c r="DM51" i="6"/>
  <c r="CR51" i="6"/>
  <c r="CP51" i="6"/>
  <c r="CO51" i="6"/>
  <c r="BU8" i="6"/>
  <c r="BW8" i="6"/>
  <c r="BV8" i="6"/>
  <c r="BT8" i="6"/>
  <c r="BU10" i="6"/>
  <c r="BV10" i="6"/>
  <c r="BT10" i="6"/>
  <c r="BW10" i="6"/>
  <c r="AK14" i="6"/>
  <c r="AH14" i="6"/>
  <c r="AJ14" i="6"/>
  <c r="BF14" i="6"/>
  <c r="AI14" i="6"/>
  <c r="BU16" i="6"/>
  <c r="BW16" i="6"/>
  <c r="BT16" i="6"/>
  <c r="BV16" i="6"/>
  <c r="AK22" i="6"/>
  <c r="AH22" i="6"/>
  <c r="AI22" i="6"/>
  <c r="BF22" i="6"/>
  <c r="AJ22" i="6"/>
  <c r="BT26" i="6"/>
  <c r="BV26" i="6"/>
  <c r="BU26" i="6"/>
  <c r="BW26" i="6"/>
  <c r="CP28" i="6"/>
  <c r="CR28" i="6"/>
  <c r="DM28" i="6"/>
  <c r="CQ28" i="6"/>
  <c r="CO28" i="6"/>
  <c r="BT32" i="6"/>
  <c r="BW32" i="6"/>
  <c r="BV32" i="6"/>
  <c r="BU32" i="6"/>
  <c r="AK38" i="6"/>
  <c r="AH38" i="6"/>
  <c r="AI38" i="6"/>
  <c r="BF38" i="6"/>
  <c r="AJ38" i="6"/>
  <c r="BT40" i="6"/>
  <c r="BW40" i="6"/>
  <c r="BV40" i="6"/>
  <c r="BU40" i="6"/>
  <c r="CQ44" i="6"/>
  <c r="CR44" i="6"/>
  <c r="DM44" i="6"/>
  <c r="CP44" i="6"/>
  <c r="CO44" i="6"/>
  <c r="AK46" i="6"/>
  <c r="AH46" i="6"/>
  <c r="AJ46" i="6"/>
  <c r="BF46" i="6"/>
  <c r="AI46" i="6"/>
  <c r="BT50" i="6"/>
  <c r="BV50" i="6"/>
  <c r="BU50" i="6"/>
  <c r="BW50" i="6"/>
  <c r="CP52" i="6"/>
  <c r="DM52" i="6"/>
  <c r="CR52" i="6"/>
  <c r="CQ52" i="6"/>
  <c r="CO52" i="6"/>
  <c r="AK4" i="6"/>
  <c r="AH4" i="6"/>
  <c r="AI4" i="6"/>
  <c r="BF4" i="6"/>
  <c r="AJ4" i="6"/>
  <c r="M55" i="6"/>
  <c r="N55" i="6"/>
  <c r="AH5" i="6"/>
  <c r="AK5" i="6"/>
  <c r="AJ5" i="6"/>
  <c r="AI5" i="6"/>
  <c r="BF5" i="6"/>
  <c r="AI7" i="6"/>
  <c r="AJ7" i="6"/>
  <c r="AK7" i="6"/>
  <c r="BF7" i="6"/>
  <c r="AH7" i="6"/>
  <c r="BT9" i="6"/>
  <c r="BV9" i="6"/>
  <c r="BU9" i="6"/>
  <c r="BW9" i="6"/>
  <c r="O11" i="6"/>
  <c r="N11" i="6"/>
  <c r="M11" i="6"/>
  <c r="P11" i="6"/>
  <c r="CO13" i="6"/>
  <c r="CQ13" i="6"/>
  <c r="CR13" i="6"/>
  <c r="DM13" i="6"/>
  <c r="CP13" i="6"/>
  <c r="AJ15" i="6"/>
  <c r="AI15" i="6"/>
  <c r="AK15" i="6"/>
  <c r="BF15" i="6"/>
  <c r="AH15" i="6"/>
  <c r="BT17" i="6"/>
  <c r="BU17" i="6"/>
  <c r="BW17" i="6"/>
  <c r="BV17" i="6"/>
  <c r="O19" i="6"/>
  <c r="N19" i="6"/>
  <c r="M19" i="6"/>
  <c r="P19" i="6"/>
  <c r="CO21" i="6"/>
  <c r="DM21" i="6"/>
  <c r="CQ21" i="6"/>
  <c r="CP21" i="6"/>
  <c r="CR21" i="6"/>
  <c r="AK23" i="6"/>
  <c r="AJ23" i="6"/>
  <c r="AI23" i="6"/>
  <c r="BF23" i="6"/>
  <c r="AH23" i="6"/>
  <c r="BT25" i="6"/>
  <c r="BV25" i="6"/>
  <c r="BU25" i="6"/>
  <c r="BW25" i="6"/>
  <c r="O27" i="6"/>
  <c r="N27" i="6"/>
  <c r="M27" i="6"/>
  <c r="P27" i="6"/>
  <c r="CO29" i="6"/>
  <c r="DM29" i="6"/>
  <c r="CQ29" i="6"/>
  <c r="CP29" i="6"/>
  <c r="CR29" i="6"/>
  <c r="AK31" i="6"/>
  <c r="AJ31" i="6"/>
  <c r="AI31" i="6"/>
  <c r="AH31" i="6"/>
  <c r="BF31" i="6"/>
  <c r="BT33" i="6"/>
  <c r="BV33" i="6"/>
  <c r="BU33" i="6"/>
  <c r="BW33" i="6"/>
  <c r="O35" i="6"/>
  <c r="N35" i="6"/>
  <c r="M35" i="6"/>
  <c r="P35" i="6"/>
  <c r="CO37" i="6"/>
  <c r="DM37" i="6"/>
  <c r="CQ37" i="6"/>
  <c r="CP37" i="6"/>
  <c r="CR37" i="6"/>
  <c r="AJ39" i="6"/>
  <c r="AI39" i="6"/>
  <c r="AK39" i="6"/>
  <c r="BF39" i="6"/>
  <c r="AH39" i="6"/>
  <c r="BT41" i="6"/>
  <c r="BV41" i="6"/>
  <c r="BU41" i="6"/>
  <c r="BW41" i="6"/>
  <c r="O43" i="6"/>
  <c r="N43" i="6"/>
  <c r="M43" i="6"/>
  <c r="P43" i="6"/>
  <c r="CO45" i="6"/>
  <c r="DM45" i="6"/>
  <c r="CR45" i="6"/>
  <c r="CQ45" i="6"/>
  <c r="CP45" i="6"/>
  <c r="AJ47" i="6"/>
  <c r="AI47" i="6"/>
  <c r="AK47" i="6"/>
  <c r="AH47" i="6"/>
  <c r="BF47" i="6"/>
  <c r="BT49" i="6"/>
  <c r="BV49" i="6"/>
  <c r="BU49" i="6"/>
  <c r="BW49" i="6"/>
  <c r="O51" i="6"/>
  <c r="N51" i="6"/>
  <c r="M51" i="6"/>
  <c r="P51" i="6"/>
  <c r="BD60" i="6"/>
  <c r="AY60" i="6"/>
  <c r="M54" i="6"/>
  <c r="N54" i="6"/>
  <c r="M53" i="6"/>
  <c r="N53" i="6"/>
  <c r="CP6" i="6"/>
  <c r="DM6" i="6"/>
  <c r="CQ6" i="6"/>
  <c r="CR6" i="6"/>
  <c r="CO6" i="6"/>
  <c r="AH8" i="6"/>
  <c r="BF8" i="6"/>
  <c r="AI8" i="6"/>
  <c r="AK8" i="6"/>
  <c r="AJ8" i="6"/>
  <c r="O10" i="6"/>
  <c r="N10" i="6"/>
  <c r="P10" i="6"/>
  <c r="M10" i="6"/>
  <c r="O12" i="6"/>
  <c r="P12" i="6"/>
  <c r="N12" i="6"/>
  <c r="M12" i="6"/>
  <c r="CP14" i="6"/>
  <c r="CQ14" i="6"/>
  <c r="CO14" i="6"/>
  <c r="CR14" i="6"/>
  <c r="DM14" i="6"/>
  <c r="AH16" i="6"/>
  <c r="AJ16" i="6"/>
  <c r="BF16" i="6"/>
  <c r="AI16" i="6"/>
  <c r="AK16" i="6"/>
  <c r="O18" i="6"/>
  <c r="N18" i="6"/>
  <c r="P18" i="6"/>
  <c r="M18" i="6"/>
  <c r="O20" i="6"/>
  <c r="P20" i="6"/>
  <c r="M20" i="6"/>
  <c r="N20" i="6"/>
  <c r="CP22" i="6"/>
  <c r="CQ22" i="6"/>
  <c r="DM22" i="6"/>
  <c r="CO22" i="6"/>
  <c r="CR22" i="6"/>
  <c r="AH24" i="6"/>
  <c r="BF24" i="6"/>
  <c r="AJ24" i="6"/>
  <c r="AK24" i="6"/>
  <c r="AI24" i="6"/>
  <c r="O26" i="6"/>
  <c r="N26" i="6"/>
  <c r="P26" i="6"/>
  <c r="M26" i="6"/>
  <c r="O28" i="6"/>
  <c r="P28" i="6"/>
  <c r="N28" i="6"/>
  <c r="M28" i="6"/>
  <c r="CP30" i="6"/>
  <c r="DM30" i="6"/>
  <c r="CQ30" i="6"/>
  <c r="CO30" i="6"/>
  <c r="CR30" i="6"/>
  <c r="AH32" i="6"/>
  <c r="AJ32" i="6"/>
  <c r="BF32" i="6"/>
  <c r="AI32" i="6"/>
  <c r="AK32" i="6"/>
  <c r="O34" i="6"/>
  <c r="N34" i="6"/>
  <c r="P34" i="6"/>
  <c r="M34" i="6"/>
  <c r="AK36" i="6"/>
  <c r="AI36" i="6"/>
  <c r="AH36" i="6"/>
  <c r="BF36" i="6"/>
  <c r="AJ36" i="6"/>
  <c r="CP38" i="6"/>
  <c r="CQ38" i="6"/>
  <c r="DM38" i="6"/>
  <c r="CO38" i="6"/>
  <c r="CR38" i="6"/>
  <c r="AH40" i="6"/>
  <c r="BF40" i="6"/>
  <c r="AJ40" i="6"/>
  <c r="AI40" i="6"/>
  <c r="AK40" i="6"/>
  <c r="O42" i="6"/>
  <c r="N42" i="6"/>
  <c r="P42" i="6"/>
  <c r="M42" i="6"/>
  <c r="O44" i="6"/>
  <c r="P44" i="6"/>
  <c r="N44" i="6"/>
  <c r="M44" i="6"/>
  <c r="CP46" i="6"/>
  <c r="CQ46" i="6"/>
  <c r="CO46" i="6"/>
  <c r="CR46" i="6"/>
  <c r="DM46" i="6"/>
  <c r="AH48" i="6"/>
  <c r="AJ48" i="6"/>
  <c r="BF48" i="6"/>
  <c r="AI48" i="6"/>
  <c r="AK48" i="6"/>
  <c r="O50" i="6"/>
  <c r="N50" i="6"/>
  <c r="P50" i="6"/>
  <c r="M50" i="6"/>
  <c r="O52" i="6"/>
  <c r="P52" i="6"/>
  <c r="M52" i="6"/>
  <c r="N52" i="6"/>
  <c r="CR4" i="6"/>
  <c r="CO4" i="6"/>
  <c r="DM4" i="6"/>
  <c r="CQ4" i="6"/>
  <c r="CP4" i="6"/>
  <c r="BB60" i="6"/>
  <c r="G82" i="1" s="1"/>
  <c r="AH13" i="6"/>
  <c r="AK13" i="6"/>
  <c r="AI13" i="6"/>
  <c r="BF13" i="6"/>
  <c r="AJ13" i="6"/>
  <c r="AJ27" i="6"/>
  <c r="AI27" i="6"/>
  <c r="AK27" i="6"/>
  <c r="BF27" i="6"/>
  <c r="AH27" i="6"/>
  <c r="Q53" i="2"/>
  <c r="Q54" i="2"/>
  <c r="BU55" i="6"/>
  <c r="BT55" i="6"/>
  <c r="O5" i="6"/>
  <c r="N5" i="6"/>
  <c r="M5" i="6"/>
  <c r="P5" i="6"/>
  <c r="CQ7" i="6"/>
  <c r="CR7" i="6"/>
  <c r="DM7" i="6"/>
  <c r="CO7" i="6"/>
  <c r="CP7" i="6"/>
  <c r="AH9" i="6"/>
  <c r="AK9" i="6"/>
  <c r="AJ9" i="6"/>
  <c r="AI9" i="6"/>
  <c r="BF9" i="6"/>
  <c r="BV11" i="6"/>
  <c r="BU11" i="6"/>
  <c r="BW11" i="6"/>
  <c r="BT11" i="6"/>
  <c r="O13" i="6"/>
  <c r="N13" i="6"/>
  <c r="M13" i="6"/>
  <c r="P13" i="6"/>
  <c r="CR15" i="6"/>
  <c r="DM15" i="6"/>
  <c r="CO15" i="6"/>
  <c r="CQ15" i="6"/>
  <c r="CP15" i="6"/>
  <c r="CO17" i="6"/>
  <c r="DM17" i="6"/>
  <c r="CR17" i="6"/>
  <c r="CP17" i="6"/>
  <c r="CQ17" i="6"/>
  <c r="BV19" i="6"/>
  <c r="BT19" i="6"/>
  <c r="BU19" i="6"/>
  <c r="BW19" i="6"/>
  <c r="O21" i="6"/>
  <c r="N21" i="6"/>
  <c r="M21" i="6"/>
  <c r="P21" i="6"/>
  <c r="CQ23" i="6"/>
  <c r="DM23" i="6"/>
  <c r="CR23" i="6"/>
  <c r="CO23" i="6"/>
  <c r="CP23" i="6"/>
  <c r="AH25" i="6"/>
  <c r="AK25" i="6"/>
  <c r="AJ25" i="6"/>
  <c r="AI25" i="6"/>
  <c r="BF25" i="6"/>
  <c r="BT27" i="6"/>
  <c r="BU27" i="6"/>
  <c r="BW27" i="6"/>
  <c r="BV27" i="6"/>
  <c r="O29" i="6"/>
  <c r="N29" i="6"/>
  <c r="M29" i="6"/>
  <c r="P29" i="6"/>
  <c r="CQ31" i="6"/>
  <c r="DM31" i="6"/>
  <c r="CO31" i="6"/>
  <c r="CP31" i="6"/>
  <c r="CR31" i="6"/>
  <c r="AH33" i="6"/>
  <c r="AK33" i="6"/>
  <c r="BF33" i="6"/>
  <c r="AJ33" i="6"/>
  <c r="AI33" i="6"/>
  <c r="BT35" i="6"/>
  <c r="BU35" i="6"/>
  <c r="BW35" i="6"/>
  <c r="BV35" i="6"/>
  <c r="O37" i="6"/>
  <c r="N37" i="6"/>
  <c r="M37" i="6"/>
  <c r="P37" i="6"/>
  <c r="CQ39" i="6"/>
  <c r="DM39" i="6"/>
  <c r="CO39" i="6"/>
  <c r="CP39" i="6"/>
  <c r="CR39" i="6"/>
  <c r="AK41" i="6"/>
  <c r="AH41" i="6"/>
  <c r="AJ41" i="6"/>
  <c r="AI41" i="6"/>
  <c r="BF41" i="6"/>
  <c r="BT43" i="6"/>
  <c r="BU43" i="6"/>
  <c r="BW43" i="6"/>
  <c r="BV43" i="6"/>
  <c r="O45" i="6"/>
  <c r="N45" i="6"/>
  <c r="M45" i="6"/>
  <c r="P45" i="6"/>
  <c r="CQ47" i="6"/>
  <c r="CO47" i="6"/>
  <c r="CR47" i="6"/>
  <c r="CP47" i="6"/>
  <c r="DM47" i="6"/>
  <c r="AH49" i="6"/>
  <c r="AK49" i="6"/>
  <c r="BF49" i="6"/>
  <c r="AJ49" i="6"/>
  <c r="AI49" i="6"/>
  <c r="BT51" i="6"/>
  <c r="BU51" i="6"/>
  <c r="BW51" i="6"/>
  <c r="BV51" i="6"/>
  <c r="AH54" i="6"/>
  <c r="AI54" i="6"/>
  <c r="BF54" i="6"/>
  <c r="BU53" i="6"/>
  <c r="BT53" i="6"/>
  <c r="BU6" i="6"/>
  <c r="BV6" i="6"/>
  <c r="BT6" i="6"/>
  <c r="BW6" i="6"/>
  <c r="CP8" i="6"/>
  <c r="DM8" i="6"/>
  <c r="CR8" i="6"/>
  <c r="CQ8" i="6"/>
  <c r="CO8" i="6"/>
  <c r="AI10" i="6"/>
  <c r="AJ10" i="6"/>
  <c r="BF10" i="6"/>
  <c r="AK10" i="6"/>
  <c r="AH10" i="6"/>
  <c r="BW12" i="6"/>
  <c r="BV12" i="6"/>
  <c r="BT12" i="6"/>
  <c r="BU12" i="6"/>
  <c r="BU14" i="6"/>
  <c r="BV14" i="6"/>
  <c r="BT14" i="6"/>
  <c r="BW14" i="6"/>
  <c r="CP16" i="6"/>
  <c r="CQ16" i="6"/>
  <c r="CR16" i="6"/>
  <c r="CO16" i="6"/>
  <c r="DM16" i="6"/>
  <c r="AI18" i="6"/>
  <c r="AJ18" i="6"/>
  <c r="BF18" i="6"/>
  <c r="AK18" i="6"/>
  <c r="AH18" i="6"/>
  <c r="BW20" i="6"/>
  <c r="BV20" i="6"/>
  <c r="BT20" i="6"/>
  <c r="BU20" i="6"/>
  <c r="BU22" i="6"/>
  <c r="BV22" i="6"/>
  <c r="BT22" i="6"/>
  <c r="BW22" i="6"/>
  <c r="CP24" i="6"/>
  <c r="DM24" i="6"/>
  <c r="CO24" i="6"/>
  <c r="CR24" i="6"/>
  <c r="CQ24" i="6"/>
  <c r="AI26" i="6"/>
  <c r="AJ26" i="6"/>
  <c r="BF26" i="6"/>
  <c r="AK26" i="6"/>
  <c r="AH26" i="6"/>
  <c r="AI28" i="6"/>
  <c r="AJ28" i="6"/>
  <c r="BF28" i="6"/>
  <c r="AH28" i="6"/>
  <c r="AK28" i="6"/>
  <c r="BT30" i="6"/>
  <c r="BV30" i="6"/>
  <c r="BU30" i="6"/>
  <c r="BW30" i="6"/>
  <c r="CP32" i="6"/>
  <c r="CO32" i="6"/>
  <c r="CR32" i="6"/>
  <c r="CQ32" i="6"/>
  <c r="DM32" i="6"/>
  <c r="AI34" i="6"/>
  <c r="AJ34" i="6"/>
  <c r="BF34" i="6"/>
  <c r="AK34" i="6"/>
  <c r="AH34" i="6"/>
  <c r="O36" i="6"/>
  <c r="P36" i="6"/>
  <c r="M36" i="6"/>
  <c r="N36" i="6"/>
  <c r="BT38" i="6"/>
  <c r="BV38" i="6"/>
  <c r="BU38" i="6"/>
  <c r="BW38" i="6"/>
  <c r="CP40" i="6"/>
  <c r="CQ40" i="6"/>
  <c r="DM40" i="6"/>
  <c r="CR40" i="6"/>
  <c r="CO40" i="6"/>
  <c r="AI42" i="6"/>
  <c r="AJ42" i="6"/>
  <c r="BF42" i="6"/>
  <c r="AK42" i="6"/>
  <c r="AH42" i="6"/>
  <c r="BT44" i="6"/>
  <c r="BW44" i="6"/>
  <c r="BV44" i="6"/>
  <c r="BU44" i="6"/>
  <c r="BT46" i="6"/>
  <c r="BV46" i="6"/>
  <c r="BU46" i="6"/>
  <c r="BW46" i="6"/>
  <c r="CO48" i="6"/>
  <c r="CR48" i="6"/>
  <c r="CQ48" i="6"/>
  <c r="CP48" i="6"/>
  <c r="DM48" i="6"/>
  <c r="AI50" i="6"/>
  <c r="AJ50" i="6"/>
  <c r="BF50" i="6"/>
  <c r="AK50" i="6"/>
  <c r="AH50" i="6"/>
  <c r="BT52" i="6"/>
  <c r="BW52" i="6"/>
  <c r="BV52" i="6"/>
  <c r="BU52" i="6"/>
  <c r="P4" i="6"/>
  <c r="O4" i="6"/>
  <c r="N4" i="6"/>
  <c r="M4" i="6"/>
  <c r="CO55" i="6"/>
  <c r="DM55" i="6"/>
  <c r="CP55" i="6"/>
  <c r="CO5" i="6"/>
  <c r="DM5" i="6"/>
  <c r="CQ5" i="6"/>
  <c r="CP5" i="6"/>
  <c r="CR5" i="6"/>
  <c r="BV15" i="6"/>
  <c r="BW15" i="6"/>
  <c r="BT15" i="6"/>
  <c r="BU15" i="6"/>
  <c r="O17" i="6"/>
  <c r="N17" i="6"/>
  <c r="M17" i="6"/>
  <c r="P17" i="6"/>
  <c r="AK21" i="6"/>
  <c r="AH21" i="6"/>
  <c r="AJ21" i="6"/>
  <c r="AI21" i="6"/>
  <c r="BF21" i="6"/>
  <c r="O25" i="6"/>
  <c r="N25" i="6"/>
  <c r="M25" i="6"/>
  <c r="P25" i="6"/>
  <c r="BT31" i="6"/>
  <c r="BU31" i="6"/>
  <c r="BW31" i="6"/>
  <c r="BV31" i="6"/>
  <c r="CQ35" i="6"/>
  <c r="DM35" i="6"/>
  <c r="CR35" i="6"/>
  <c r="CP35" i="6"/>
  <c r="CO35" i="6"/>
  <c r="CP43" i="6"/>
  <c r="DM43" i="6"/>
  <c r="CR43" i="6"/>
  <c r="CO43" i="6"/>
  <c r="CQ43" i="6"/>
  <c r="BU54" i="6"/>
  <c r="BT54" i="6"/>
  <c r="CO53" i="6"/>
  <c r="DM53" i="6"/>
  <c r="CP53" i="6"/>
  <c r="AK6" i="6"/>
  <c r="AH6" i="6"/>
  <c r="AI6" i="6"/>
  <c r="BF6" i="6"/>
  <c r="AJ6" i="6"/>
  <c r="CP12" i="6"/>
  <c r="CO12" i="6"/>
  <c r="CQ12" i="6"/>
  <c r="CR12" i="6"/>
  <c r="DM12" i="6"/>
  <c r="BU18" i="6"/>
  <c r="BV18" i="6"/>
  <c r="BT18" i="6"/>
  <c r="BW18" i="6"/>
  <c r="CP20" i="6"/>
  <c r="CO20" i="6"/>
  <c r="CR20" i="6"/>
  <c r="DM20" i="6"/>
  <c r="CQ20" i="6"/>
  <c r="BT24" i="6"/>
  <c r="BW24" i="6"/>
  <c r="BV24" i="6"/>
  <c r="BU24" i="6"/>
  <c r="AK30" i="6"/>
  <c r="AH30" i="6"/>
  <c r="AJ30" i="6"/>
  <c r="BF30" i="6"/>
  <c r="AI30" i="6"/>
  <c r="BT34" i="6"/>
  <c r="BV34" i="6"/>
  <c r="BU34" i="6"/>
  <c r="BW34" i="6"/>
  <c r="CR36" i="6"/>
  <c r="CQ36" i="6"/>
  <c r="CP36" i="6"/>
  <c r="CO36" i="6"/>
  <c r="DM36" i="6"/>
  <c r="BT42" i="6"/>
  <c r="BV42" i="6"/>
  <c r="BU42" i="6"/>
  <c r="BW42" i="6"/>
  <c r="BT48" i="6"/>
  <c r="BW48" i="6"/>
  <c r="BV48" i="6"/>
  <c r="BU48" i="6"/>
  <c r="BA60" i="6"/>
  <c r="AH55" i="6"/>
  <c r="AI55" i="6"/>
  <c r="BF55" i="6"/>
  <c r="BT5" i="6"/>
  <c r="BV5" i="6"/>
  <c r="BU5" i="6"/>
  <c r="BW5" i="6"/>
  <c r="O7" i="6"/>
  <c r="N7" i="6"/>
  <c r="M7" i="6"/>
  <c r="P7" i="6"/>
  <c r="CO9" i="6"/>
  <c r="DM9" i="6"/>
  <c r="CP9" i="6"/>
  <c r="CR9" i="6"/>
  <c r="CQ9" i="6"/>
  <c r="AK11" i="6"/>
  <c r="AJ11" i="6"/>
  <c r="AI11" i="6"/>
  <c r="BF11" i="6"/>
  <c r="AH11" i="6"/>
  <c r="BT13" i="6"/>
  <c r="BU13" i="6"/>
  <c r="BV13" i="6"/>
  <c r="BW13" i="6"/>
  <c r="O15" i="6"/>
  <c r="N15" i="6"/>
  <c r="M15" i="6"/>
  <c r="P15" i="6"/>
  <c r="AH17" i="6"/>
  <c r="AK17" i="6"/>
  <c r="BF17" i="6"/>
  <c r="AJ17" i="6"/>
  <c r="AI17" i="6"/>
  <c r="AI19" i="6"/>
  <c r="AK19" i="6"/>
  <c r="AJ19" i="6"/>
  <c r="BF19" i="6"/>
  <c r="AH19" i="6"/>
  <c r="BT21" i="6"/>
  <c r="BV21" i="6"/>
  <c r="BU21" i="6"/>
  <c r="BW21" i="6"/>
  <c r="O23" i="6"/>
  <c r="N23" i="6"/>
  <c r="M23" i="6"/>
  <c r="P23" i="6"/>
  <c r="CO25" i="6"/>
  <c r="CR25" i="6"/>
  <c r="CP25" i="6"/>
  <c r="CQ25" i="6"/>
  <c r="DM25" i="6"/>
  <c r="CQ27" i="6"/>
  <c r="DM27" i="6"/>
  <c r="CP27" i="6"/>
  <c r="CR27" i="6"/>
  <c r="CO27" i="6"/>
  <c r="BT29" i="6"/>
  <c r="BV29" i="6"/>
  <c r="BU29" i="6"/>
  <c r="BW29" i="6"/>
  <c r="O31" i="6"/>
  <c r="N31" i="6"/>
  <c r="M31" i="6"/>
  <c r="P31" i="6"/>
  <c r="CO33" i="6"/>
  <c r="DM33" i="6"/>
  <c r="CR33" i="6"/>
  <c r="CP33" i="6"/>
  <c r="CQ33" i="6"/>
  <c r="AJ35" i="6"/>
  <c r="AI35" i="6"/>
  <c r="AK35" i="6"/>
  <c r="BF35" i="6"/>
  <c r="AH35" i="6"/>
  <c r="BT37" i="6"/>
  <c r="BV37" i="6"/>
  <c r="BU37" i="6"/>
  <c r="BW37" i="6"/>
  <c r="O39" i="6"/>
  <c r="N39" i="6"/>
  <c r="M39" i="6"/>
  <c r="P39" i="6"/>
  <c r="CO41" i="6"/>
  <c r="DM41" i="6"/>
  <c r="CR41" i="6"/>
  <c r="CP41" i="6"/>
  <c r="CQ41" i="6"/>
  <c r="AK43" i="6"/>
  <c r="AJ43" i="6"/>
  <c r="AI43" i="6"/>
  <c r="BF43" i="6"/>
  <c r="AH43" i="6"/>
  <c r="BT45" i="6"/>
  <c r="BV45" i="6"/>
  <c r="BU45" i="6"/>
  <c r="BW45" i="6"/>
  <c r="O47" i="6"/>
  <c r="N47" i="6"/>
  <c r="M47" i="6"/>
  <c r="P47" i="6"/>
  <c r="CO49" i="6"/>
  <c r="CR49" i="6"/>
  <c r="DM49" i="6"/>
  <c r="CP49" i="6"/>
  <c r="CQ49" i="6"/>
  <c r="AI51" i="6"/>
  <c r="AK51" i="6"/>
  <c r="AJ51" i="6"/>
  <c r="BF51" i="6"/>
  <c r="AH51" i="6"/>
  <c r="CO54" i="6"/>
  <c r="DM54" i="6"/>
  <c r="CP54" i="6"/>
  <c r="AH53" i="6"/>
  <c r="AI53" i="6"/>
  <c r="BF53" i="6"/>
  <c r="BC60" i="6"/>
  <c r="H82" i="1" s="1"/>
  <c r="O6" i="6"/>
  <c r="N6" i="6"/>
  <c r="P6" i="6"/>
  <c r="M6" i="6"/>
  <c r="O8" i="6"/>
  <c r="P8" i="6"/>
  <c r="N8" i="6"/>
  <c r="M8" i="6"/>
  <c r="CP10" i="6"/>
  <c r="DM10" i="6"/>
  <c r="CR10" i="6"/>
  <c r="CO10" i="6"/>
  <c r="CQ10" i="6"/>
  <c r="AI12" i="6"/>
  <c r="AK12" i="6"/>
  <c r="AJ12" i="6"/>
  <c r="BF12" i="6"/>
  <c r="AH12" i="6"/>
  <c r="O14" i="6"/>
  <c r="N14" i="6"/>
  <c r="P14" i="6"/>
  <c r="M14" i="6"/>
  <c r="O16" i="6"/>
  <c r="P16" i="6"/>
  <c r="M16" i="6"/>
  <c r="N16" i="6"/>
  <c r="CP18" i="6"/>
  <c r="DM18" i="6"/>
  <c r="CO18" i="6"/>
  <c r="CQ18" i="6"/>
  <c r="CR18" i="6"/>
  <c r="AK20" i="6"/>
  <c r="AI20" i="6"/>
  <c r="AH20" i="6"/>
  <c r="BF20" i="6"/>
  <c r="AJ20" i="6"/>
  <c r="O22" i="6"/>
  <c r="N22" i="6"/>
  <c r="P22" i="6"/>
  <c r="M22" i="6"/>
  <c r="O24" i="6"/>
  <c r="P24" i="6"/>
  <c r="N24" i="6"/>
  <c r="M24" i="6"/>
  <c r="CP26" i="6"/>
  <c r="CQ26" i="6"/>
  <c r="DM26" i="6"/>
  <c r="CO26" i="6"/>
  <c r="CR26" i="6"/>
  <c r="BT28" i="6"/>
  <c r="BW28" i="6"/>
  <c r="BV28" i="6"/>
  <c r="BU28" i="6"/>
  <c r="O30" i="6"/>
  <c r="N30" i="6"/>
  <c r="P30" i="6"/>
  <c r="M30" i="6"/>
  <c r="O32" i="6"/>
  <c r="P32" i="6"/>
  <c r="N32" i="6"/>
  <c r="M32" i="6"/>
  <c r="CP34" i="6"/>
  <c r="CQ34" i="6"/>
  <c r="DM34" i="6"/>
  <c r="CO34" i="6"/>
  <c r="CR34" i="6"/>
  <c r="BT36" i="6"/>
  <c r="BW36" i="6"/>
  <c r="BV36" i="6"/>
  <c r="BU36" i="6"/>
  <c r="O38" i="6"/>
  <c r="N38" i="6"/>
  <c r="P38" i="6"/>
  <c r="M38" i="6"/>
  <c r="O40" i="6"/>
  <c r="P40" i="6"/>
  <c r="N40" i="6"/>
  <c r="M40" i="6"/>
  <c r="CP42" i="6"/>
  <c r="CQ42" i="6"/>
  <c r="DM42" i="6"/>
  <c r="CO42" i="6"/>
  <c r="CR42" i="6"/>
  <c r="AI44" i="6"/>
  <c r="AJ44" i="6"/>
  <c r="AK44" i="6"/>
  <c r="BF44" i="6"/>
  <c r="AH44" i="6"/>
  <c r="O46" i="6"/>
  <c r="N46" i="6"/>
  <c r="P46" i="6"/>
  <c r="M46" i="6"/>
  <c r="O48" i="6"/>
  <c r="P48" i="6"/>
  <c r="M48" i="6"/>
  <c r="N48" i="6"/>
  <c r="CP50" i="6"/>
  <c r="CQ50" i="6"/>
  <c r="CO50" i="6"/>
  <c r="DM50" i="6"/>
  <c r="CR50" i="6"/>
  <c r="AK52" i="6"/>
  <c r="AI52" i="6"/>
  <c r="AH52" i="6"/>
  <c r="BF52" i="6"/>
  <c r="AJ52" i="6"/>
  <c r="BU4" i="6"/>
  <c r="BW4" i="6"/>
  <c r="BV4" i="6"/>
  <c r="BT4" i="6"/>
  <c r="Q7" i="2"/>
  <c r="Q11" i="2"/>
  <c r="Q15" i="2"/>
  <c r="AF16" i="6" s="1"/>
  <c r="Q19" i="2"/>
  <c r="Q23" i="2"/>
  <c r="Q27" i="2"/>
  <c r="Q31" i="2"/>
  <c r="Q35" i="2"/>
  <c r="Q39" i="2"/>
  <c r="Q43" i="2"/>
  <c r="Q47" i="2"/>
  <c r="Q51" i="2"/>
  <c r="Q4" i="2"/>
  <c r="Q8" i="2"/>
  <c r="Q12" i="2"/>
  <c r="Q16" i="2"/>
  <c r="Q20" i="2"/>
  <c r="Q24" i="2"/>
  <c r="Q28" i="2"/>
  <c r="Q32" i="2"/>
  <c r="Q36" i="2"/>
  <c r="Q40" i="2"/>
  <c r="Q44" i="2"/>
  <c r="Q48" i="2"/>
  <c r="S59" i="2"/>
  <c r="Q5" i="2"/>
  <c r="Q9" i="2"/>
  <c r="Q13" i="2"/>
  <c r="Q17" i="2"/>
  <c r="Q21" i="2"/>
  <c r="Q25" i="2"/>
  <c r="Q29" i="2"/>
  <c r="Q33" i="2"/>
  <c r="Q37" i="2"/>
  <c r="Q41" i="2"/>
  <c r="Q45" i="2"/>
  <c r="Q49" i="2"/>
  <c r="Q6" i="2"/>
  <c r="Q10" i="2"/>
  <c r="Q14" i="2"/>
  <c r="Q18" i="2"/>
  <c r="Q22" i="2"/>
  <c r="Q26" i="2"/>
  <c r="Q30" i="2"/>
  <c r="Q34" i="2"/>
  <c r="Q38" i="2"/>
  <c r="Q42" i="2"/>
  <c r="Q46" i="2"/>
  <c r="Q50" i="2"/>
  <c r="Q52" i="2"/>
  <c r="U59" i="2"/>
  <c r="V59" i="2"/>
  <c r="V75" i="1"/>
  <c r="V39" i="1"/>
  <c r="V59" i="1"/>
  <c r="U61" i="1"/>
  <c r="V89" i="1"/>
  <c r="G88" i="1" l="1"/>
  <c r="H88" i="1"/>
  <c r="BW60" i="6"/>
  <c r="BT60" i="6"/>
  <c r="G36" i="1"/>
  <c r="G74" i="1"/>
  <c r="I36" i="1"/>
  <c r="I74" i="1"/>
  <c r="H36" i="1"/>
  <c r="H74" i="1"/>
  <c r="F74" i="1"/>
  <c r="F82" i="1"/>
  <c r="BV60" i="6"/>
  <c r="BU60" i="6"/>
  <c r="M60" i="6"/>
  <c r="DM60" i="6"/>
  <c r="BF60" i="6"/>
  <c r="DF60" i="6"/>
  <c r="N60" i="6"/>
  <c r="CO60" i="6"/>
  <c r="AI60" i="6"/>
  <c r="O60" i="6"/>
  <c r="DK60" i="6"/>
  <c r="CP60" i="6"/>
  <c r="CR60" i="6"/>
  <c r="AH60" i="6"/>
  <c r="DI60" i="6"/>
  <c r="P60" i="6"/>
  <c r="CQ60" i="6"/>
  <c r="DH60" i="6"/>
  <c r="DJ60" i="6"/>
  <c r="AJ60" i="6"/>
  <c r="AK60" i="6"/>
  <c r="CE31" i="6"/>
  <c r="X31" i="6"/>
  <c r="CE15" i="6"/>
  <c r="X15" i="6"/>
  <c r="X30" i="6"/>
  <c r="CE30" i="6"/>
  <c r="CE27" i="6"/>
  <c r="X27" i="6"/>
  <c r="X26" i="6"/>
  <c r="CE26" i="6"/>
  <c r="CE29" i="6"/>
  <c r="X29" i="6"/>
  <c r="X16" i="6"/>
  <c r="CE16" i="6"/>
  <c r="CE23" i="6"/>
  <c r="X23" i="6"/>
  <c r="X28" i="6"/>
  <c r="CE28" i="6"/>
  <c r="X22" i="6"/>
  <c r="CE22" i="6"/>
  <c r="CE25" i="6"/>
  <c r="X25" i="6"/>
  <c r="CE19" i="6"/>
  <c r="X19" i="6"/>
  <c r="X18" i="6"/>
  <c r="CE18" i="6"/>
  <c r="CE21" i="6"/>
  <c r="X21" i="6"/>
  <c r="X24" i="6"/>
  <c r="CE24" i="6"/>
  <c r="CE17" i="6"/>
  <c r="X17" i="6"/>
  <c r="X20" i="6"/>
  <c r="CE20" i="6"/>
  <c r="BR49" i="6"/>
  <c r="BR33" i="6"/>
  <c r="BR17" i="6"/>
  <c r="BR40" i="6"/>
  <c r="BR45" i="6"/>
  <c r="BR29" i="6"/>
  <c r="BR13" i="6"/>
  <c r="BR34" i="6"/>
  <c r="BR18" i="6"/>
  <c r="BR54" i="6"/>
  <c r="BR31" i="6"/>
  <c r="BR52" i="6"/>
  <c r="BR38" i="6"/>
  <c r="BR43" i="6"/>
  <c r="BR27" i="6"/>
  <c r="AF27" i="6"/>
  <c r="BE27" i="6" s="1"/>
  <c r="K27" i="6"/>
  <c r="CM27" i="6"/>
  <c r="DL27" i="6" s="1"/>
  <c r="AF42" i="6"/>
  <c r="BE42" i="6" s="1"/>
  <c r="CM42" i="6"/>
  <c r="DL42" i="6" s="1"/>
  <c r="K42" i="6"/>
  <c r="AF10" i="6"/>
  <c r="BE10" i="6" s="1"/>
  <c r="CM10" i="6"/>
  <c r="DL10" i="6" s="1"/>
  <c r="K10" i="6"/>
  <c r="K33" i="6"/>
  <c r="AF33" i="6"/>
  <c r="BE33" i="6" s="1"/>
  <c r="CM33" i="6"/>
  <c r="DL33" i="6" s="1"/>
  <c r="AF52" i="6"/>
  <c r="BE52" i="6" s="1"/>
  <c r="CM52" i="6"/>
  <c r="DL52" i="6" s="1"/>
  <c r="K52" i="6"/>
  <c r="BG12" i="6"/>
  <c r="BJ12" i="6"/>
  <c r="BH12" i="6"/>
  <c r="BI12" i="6"/>
  <c r="DO55" i="6"/>
  <c r="DN55" i="6"/>
  <c r="DO24" i="6"/>
  <c r="DQ24" i="6"/>
  <c r="DP24" i="6"/>
  <c r="DN24" i="6"/>
  <c r="DO8" i="6"/>
  <c r="DN8" i="6"/>
  <c r="DP8" i="6"/>
  <c r="DQ8" i="6"/>
  <c r="BH54" i="6"/>
  <c r="BG54" i="6"/>
  <c r="DQ47" i="6"/>
  <c r="DN47" i="6"/>
  <c r="DO47" i="6"/>
  <c r="DP47" i="6"/>
  <c r="BJ39" i="6"/>
  <c r="BG39" i="6"/>
  <c r="BI39" i="6"/>
  <c r="BH39" i="6"/>
  <c r="BJ7" i="6"/>
  <c r="BG7" i="6"/>
  <c r="BH7" i="6"/>
  <c r="BI7" i="6"/>
  <c r="BI46" i="6"/>
  <c r="BJ46" i="6"/>
  <c r="BH46" i="6"/>
  <c r="BG46" i="6"/>
  <c r="BI22" i="6"/>
  <c r="BJ22" i="6"/>
  <c r="BH22" i="6"/>
  <c r="BG22" i="6"/>
  <c r="BI45" i="6"/>
  <c r="BJ45" i="6"/>
  <c r="BG45" i="6"/>
  <c r="BH45" i="6"/>
  <c r="AF39" i="6"/>
  <c r="BE39" i="6" s="1"/>
  <c r="K39" i="6"/>
  <c r="CM39" i="6"/>
  <c r="DL39" i="6" s="1"/>
  <c r="AF7" i="6"/>
  <c r="BE7" i="6" s="1"/>
  <c r="K7" i="6"/>
  <c r="CM7" i="6"/>
  <c r="DL7" i="6" s="1"/>
  <c r="AF38" i="6"/>
  <c r="BE38" i="6" s="1"/>
  <c r="CM38" i="6"/>
  <c r="DL38" i="6" s="1"/>
  <c r="K38" i="6"/>
  <c r="K45" i="6"/>
  <c r="AF45" i="6"/>
  <c r="BE45" i="6" s="1"/>
  <c r="CM45" i="6"/>
  <c r="DL45" i="6" s="1"/>
  <c r="AF32" i="6"/>
  <c r="BE32" i="6" s="1"/>
  <c r="CM32" i="6"/>
  <c r="DL32" i="6" s="1"/>
  <c r="K32" i="6"/>
  <c r="DQ34" i="6"/>
  <c r="DP34" i="6"/>
  <c r="DN34" i="6"/>
  <c r="DO34" i="6"/>
  <c r="DQ41" i="6"/>
  <c r="DN41" i="6"/>
  <c r="DO41" i="6"/>
  <c r="DP41" i="6"/>
  <c r="DN9" i="6"/>
  <c r="DQ9" i="6"/>
  <c r="DO9" i="6"/>
  <c r="DP9" i="6"/>
  <c r="BI6" i="6"/>
  <c r="BH6" i="6"/>
  <c r="BJ6" i="6"/>
  <c r="BG6" i="6"/>
  <c r="BJ21" i="6"/>
  <c r="BI21" i="6"/>
  <c r="BG21" i="6"/>
  <c r="BH21" i="6"/>
  <c r="DN5" i="6"/>
  <c r="DQ5" i="6"/>
  <c r="DP5" i="6"/>
  <c r="DO5" i="6"/>
  <c r="BI42" i="6"/>
  <c r="BJ42" i="6"/>
  <c r="BG42" i="6"/>
  <c r="BH42" i="6"/>
  <c r="BR14" i="6"/>
  <c r="BJ41" i="6"/>
  <c r="BG41" i="6"/>
  <c r="BH41" i="6"/>
  <c r="BI41" i="6"/>
  <c r="DP23" i="6"/>
  <c r="DN23" i="6"/>
  <c r="DQ23" i="6"/>
  <c r="DO23" i="6"/>
  <c r="BJ9" i="6"/>
  <c r="BG9" i="6"/>
  <c r="BH9" i="6"/>
  <c r="BI9" i="6"/>
  <c r="BI27" i="6"/>
  <c r="BH27" i="6"/>
  <c r="BJ27" i="6"/>
  <c r="BG27" i="6"/>
  <c r="DQ46" i="6"/>
  <c r="DP46" i="6"/>
  <c r="DN46" i="6"/>
  <c r="DO46" i="6"/>
  <c r="BI40" i="6"/>
  <c r="BJ40" i="6"/>
  <c r="BH40" i="6"/>
  <c r="BG40" i="6"/>
  <c r="DO38" i="6"/>
  <c r="DN38" i="6"/>
  <c r="DP38" i="6"/>
  <c r="DQ38" i="6"/>
  <c r="BG36" i="6"/>
  <c r="BJ36" i="6"/>
  <c r="BH36" i="6"/>
  <c r="BI36" i="6"/>
  <c r="DQ30" i="6"/>
  <c r="DN30" i="6"/>
  <c r="DP30" i="6"/>
  <c r="DO30" i="6"/>
  <c r="BI47" i="6"/>
  <c r="BJ47" i="6"/>
  <c r="BG47" i="6"/>
  <c r="BH47" i="6"/>
  <c r="DQ45" i="6"/>
  <c r="DN45" i="6"/>
  <c r="DO45" i="6"/>
  <c r="DP45" i="6"/>
  <c r="BI31" i="6"/>
  <c r="BJ31" i="6"/>
  <c r="BH31" i="6"/>
  <c r="BG31" i="6"/>
  <c r="DQ29" i="6"/>
  <c r="DP29" i="6"/>
  <c r="DN29" i="6"/>
  <c r="DO29" i="6"/>
  <c r="DP52" i="6"/>
  <c r="DN52" i="6"/>
  <c r="DO52" i="6"/>
  <c r="DQ52" i="6"/>
  <c r="BR32" i="6"/>
  <c r="BR16" i="6"/>
  <c r="BI14" i="6"/>
  <c r="BJ14" i="6"/>
  <c r="BG14" i="6"/>
  <c r="BH14" i="6"/>
  <c r="BR8" i="6"/>
  <c r="DO51" i="6"/>
  <c r="DN51" i="6"/>
  <c r="DP51" i="6"/>
  <c r="DQ51" i="6"/>
  <c r="DP19" i="6"/>
  <c r="DQ19" i="6"/>
  <c r="DO19" i="6"/>
  <c r="DN19" i="6"/>
  <c r="BR7" i="6"/>
  <c r="DQ42" i="6"/>
  <c r="DP42" i="6"/>
  <c r="DN42" i="6"/>
  <c r="DO42" i="6"/>
  <c r="BG35" i="6"/>
  <c r="BH35" i="6"/>
  <c r="BI35" i="6"/>
  <c r="BJ35" i="6"/>
  <c r="DN27" i="6"/>
  <c r="DQ27" i="6"/>
  <c r="DO27" i="6"/>
  <c r="DP27" i="6"/>
  <c r="BI18" i="6"/>
  <c r="BJ18" i="6"/>
  <c r="BG18" i="6"/>
  <c r="BH18" i="6"/>
  <c r="K53" i="6"/>
  <c r="AF53" i="6"/>
  <c r="BE53" i="6" s="1"/>
  <c r="CM53" i="6"/>
  <c r="DL53" i="6" s="1"/>
  <c r="AF6" i="6"/>
  <c r="BE6" i="6" s="1"/>
  <c r="CM6" i="6"/>
  <c r="DL6" i="6" s="1"/>
  <c r="K6" i="6"/>
  <c r="K29" i="6"/>
  <c r="AF29" i="6"/>
  <c r="BE29" i="6" s="1"/>
  <c r="CM29" i="6"/>
  <c r="DL29" i="6" s="1"/>
  <c r="AF48" i="6"/>
  <c r="BE48" i="6" s="1"/>
  <c r="CM48" i="6"/>
  <c r="DL48" i="6" s="1"/>
  <c r="K48" i="6"/>
  <c r="BE16" i="6"/>
  <c r="CM16" i="6"/>
  <c r="DL16" i="6" s="1"/>
  <c r="K16" i="6"/>
  <c r="DO50" i="6"/>
  <c r="DP50" i="6"/>
  <c r="DQ50" i="6"/>
  <c r="DN50" i="6"/>
  <c r="DN18" i="6"/>
  <c r="DP18" i="6"/>
  <c r="DQ18" i="6"/>
  <c r="DO18" i="6"/>
  <c r="BR24" i="6"/>
  <c r="AF51" i="6"/>
  <c r="BE51" i="6" s="1"/>
  <c r="K51" i="6"/>
  <c r="CM51" i="6"/>
  <c r="DL51" i="6" s="1"/>
  <c r="AF35" i="6"/>
  <c r="BE35" i="6" s="1"/>
  <c r="K35" i="6"/>
  <c r="CM35" i="6"/>
  <c r="DL35" i="6" s="1"/>
  <c r="AF19" i="6"/>
  <c r="BE19" i="6" s="1"/>
  <c r="K19" i="6"/>
  <c r="CM19" i="6"/>
  <c r="DL19" i="6" s="1"/>
  <c r="AF50" i="6"/>
  <c r="BE50" i="6" s="1"/>
  <c r="CM50" i="6"/>
  <c r="DL50" i="6" s="1"/>
  <c r="K50" i="6"/>
  <c r="AF34" i="6"/>
  <c r="BE34" i="6" s="1"/>
  <c r="CM34" i="6"/>
  <c r="DL34" i="6" s="1"/>
  <c r="K34" i="6"/>
  <c r="AF18" i="6"/>
  <c r="BE18" i="6" s="1"/>
  <c r="CM18" i="6"/>
  <c r="DL18" i="6" s="1"/>
  <c r="K18" i="6"/>
  <c r="K41" i="6"/>
  <c r="AF41" i="6"/>
  <c r="BE41" i="6" s="1"/>
  <c r="CM41" i="6"/>
  <c r="DL41" i="6" s="1"/>
  <c r="K25" i="6"/>
  <c r="AF25" i="6"/>
  <c r="BE25" i="6" s="1"/>
  <c r="CM25" i="6"/>
  <c r="DL25" i="6" s="1"/>
  <c r="K9" i="6"/>
  <c r="AF9" i="6"/>
  <c r="BE9" i="6" s="1"/>
  <c r="CM9" i="6"/>
  <c r="DL9" i="6" s="1"/>
  <c r="AF44" i="6"/>
  <c r="BE44" i="6" s="1"/>
  <c r="CM44" i="6"/>
  <c r="DL44" i="6" s="1"/>
  <c r="K44" i="6"/>
  <c r="AF28" i="6"/>
  <c r="BE28" i="6" s="1"/>
  <c r="CM28" i="6"/>
  <c r="DL28" i="6" s="1"/>
  <c r="K28" i="6"/>
  <c r="AF12" i="6"/>
  <c r="BE12" i="6" s="1"/>
  <c r="CM12" i="6"/>
  <c r="DL12" i="6" s="1"/>
  <c r="K12" i="6"/>
  <c r="BR4" i="6"/>
  <c r="BG44" i="6"/>
  <c r="BH44" i="6"/>
  <c r="BJ44" i="6"/>
  <c r="BI44" i="6"/>
  <c r="BR36" i="6"/>
  <c r="DO26" i="6"/>
  <c r="DP26" i="6"/>
  <c r="DN26" i="6"/>
  <c r="DQ26" i="6"/>
  <c r="BG20" i="6"/>
  <c r="BH20" i="6"/>
  <c r="BI20" i="6"/>
  <c r="BJ20" i="6"/>
  <c r="DP49" i="6"/>
  <c r="DQ49" i="6"/>
  <c r="DN49" i="6"/>
  <c r="DO49" i="6"/>
  <c r="BI43" i="6"/>
  <c r="BJ43" i="6"/>
  <c r="BG43" i="6"/>
  <c r="BH43" i="6"/>
  <c r="BR37" i="6"/>
  <c r="DP25" i="6"/>
  <c r="DQ25" i="6"/>
  <c r="DO25" i="6"/>
  <c r="DN25" i="6"/>
  <c r="BR21" i="6"/>
  <c r="BI17" i="6"/>
  <c r="BH17" i="6"/>
  <c r="BJ17" i="6"/>
  <c r="BG17" i="6"/>
  <c r="BI11" i="6"/>
  <c r="BJ11" i="6"/>
  <c r="BG11" i="6"/>
  <c r="BH11" i="6"/>
  <c r="BR5" i="6"/>
  <c r="BI30" i="6"/>
  <c r="BH30" i="6"/>
  <c r="BJ30" i="6"/>
  <c r="BG30" i="6"/>
  <c r="DO53" i="6"/>
  <c r="DN53" i="6"/>
  <c r="DO43" i="6"/>
  <c r="DP43" i="6"/>
  <c r="DN43" i="6"/>
  <c r="DQ43" i="6"/>
  <c r="DQ48" i="6"/>
  <c r="DN48" i="6"/>
  <c r="DO48" i="6"/>
  <c r="DP48" i="6"/>
  <c r="BR46" i="6"/>
  <c r="BR44" i="6"/>
  <c r="DO40" i="6"/>
  <c r="DP40" i="6"/>
  <c r="DQ40" i="6"/>
  <c r="DN40" i="6"/>
  <c r="DQ32" i="6"/>
  <c r="DN32" i="6"/>
  <c r="DP32" i="6"/>
  <c r="DO32" i="6"/>
  <c r="BR30" i="6"/>
  <c r="BI26" i="6"/>
  <c r="BH26" i="6"/>
  <c r="BJ26" i="6"/>
  <c r="BG26" i="6"/>
  <c r="BI10" i="6"/>
  <c r="BJ10" i="6"/>
  <c r="BH10" i="6"/>
  <c r="BG10" i="6"/>
  <c r="BR53" i="6"/>
  <c r="BR51" i="6"/>
  <c r="BR35" i="6"/>
  <c r="DQ17" i="6"/>
  <c r="DP17" i="6"/>
  <c r="DN17" i="6"/>
  <c r="DO17" i="6"/>
  <c r="AF55" i="6"/>
  <c r="BE55" i="6" s="1"/>
  <c r="K55" i="6"/>
  <c r="CM55" i="6"/>
  <c r="DL55" i="6" s="1"/>
  <c r="BI13" i="6"/>
  <c r="BJ13" i="6"/>
  <c r="BG13" i="6"/>
  <c r="BH13" i="6"/>
  <c r="DQ4" i="6"/>
  <c r="DN4" i="6"/>
  <c r="DO4" i="6"/>
  <c r="DP4" i="6"/>
  <c r="BI48" i="6"/>
  <c r="BH48" i="6"/>
  <c r="BJ48" i="6"/>
  <c r="BG48" i="6"/>
  <c r="BI24" i="6"/>
  <c r="BH24" i="6"/>
  <c r="BJ24" i="6"/>
  <c r="BG24" i="6"/>
  <c r="DO22" i="6"/>
  <c r="DQ22" i="6"/>
  <c r="DP22" i="6"/>
  <c r="DN22" i="6"/>
  <c r="DP14" i="6"/>
  <c r="DQ14" i="6"/>
  <c r="DO14" i="6"/>
  <c r="DN14" i="6"/>
  <c r="BI8" i="6"/>
  <c r="BH8" i="6"/>
  <c r="BJ8" i="6"/>
  <c r="BG8" i="6"/>
  <c r="BR41" i="6"/>
  <c r="BR25" i="6"/>
  <c r="BI15" i="6"/>
  <c r="BH15" i="6"/>
  <c r="BJ15" i="6"/>
  <c r="BG15" i="6"/>
  <c r="BR9" i="6"/>
  <c r="BG4" i="6"/>
  <c r="BJ4" i="6"/>
  <c r="BH4" i="6"/>
  <c r="BI4" i="6"/>
  <c r="BR50" i="6"/>
  <c r="DQ44" i="6"/>
  <c r="DP44" i="6"/>
  <c r="DN44" i="6"/>
  <c r="DO44" i="6"/>
  <c r="BI38" i="6"/>
  <c r="BJ38" i="6"/>
  <c r="BG38" i="6"/>
  <c r="BH38" i="6"/>
  <c r="BR26" i="6"/>
  <c r="BR10" i="6"/>
  <c r="BR47" i="6"/>
  <c r="BI29" i="6"/>
  <c r="BJ29" i="6"/>
  <c r="BH29" i="6"/>
  <c r="BG29" i="6"/>
  <c r="BR23" i="6"/>
  <c r="AF43" i="6"/>
  <c r="BE43" i="6" s="1"/>
  <c r="K43" i="6"/>
  <c r="CM43" i="6"/>
  <c r="DL43" i="6" s="1"/>
  <c r="AF11" i="6"/>
  <c r="BE11" i="6" s="1"/>
  <c r="K11" i="6"/>
  <c r="CM11" i="6"/>
  <c r="DL11" i="6" s="1"/>
  <c r="AF26" i="6"/>
  <c r="BE26" i="6" s="1"/>
  <c r="CM26" i="6"/>
  <c r="DL26" i="6" s="1"/>
  <c r="K26" i="6"/>
  <c r="K49" i="6"/>
  <c r="AF49" i="6"/>
  <c r="BE49" i="6" s="1"/>
  <c r="CM49" i="6"/>
  <c r="DL49" i="6" s="1"/>
  <c r="K17" i="6"/>
  <c r="AF17" i="6"/>
  <c r="BE17" i="6" s="1"/>
  <c r="CM17" i="6"/>
  <c r="DL17" i="6" s="1"/>
  <c r="AF36" i="6"/>
  <c r="BE36" i="6" s="1"/>
  <c r="CM36" i="6"/>
  <c r="DL36" i="6" s="1"/>
  <c r="K36" i="6"/>
  <c r="AF20" i="6"/>
  <c r="BE20" i="6" s="1"/>
  <c r="CM20" i="6"/>
  <c r="DL20" i="6" s="1"/>
  <c r="K20" i="6"/>
  <c r="BG52" i="6"/>
  <c r="BJ52" i="6"/>
  <c r="BH52" i="6"/>
  <c r="BI52" i="6"/>
  <c r="BG51" i="6"/>
  <c r="BH51" i="6"/>
  <c r="BJ51" i="6"/>
  <c r="BI51" i="6"/>
  <c r="BG19" i="6"/>
  <c r="BJ19" i="6"/>
  <c r="BH19" i="6"/>
  <c r="BI19" i="6"/>
  <c r="DQ36" i="6"/>
  <c r="DN36" i="6"/>
  <c r="DO36" i="6"/>
  <c r="DP36" i="6"/>
  <c r="DN7" i="6"/>
  <c r="DP7" i="6"/>
  <c r="DQ7" i="6"/>
  <c r="DO7" i="6"/>
  <c r="BJ23" i="6"/>
  <c r="BI23" i="6"/>
  <c r="BG23" i="6"/>
  <c r="BH23" i="6"/>
  <c r="BJ5" i="6"/>
  <c r="BG5" i="6"/>
  <c r="BI5" i="6"/>
  <c r="BH5" i="6"/>
  <c r="DP28" i="6"/>
  <c r="DQ28" i="6"/>
  <c r="DN28" i="6"/>
  <c r="DO28" i="6"/>
  <c r="BJ37" i="6"/>
  <c r="BG37" i="6"/>
  <c r="BI37" i="6"/>
  <c r="BH37" i="6"/>
  <c r="AF23" i="6"/>
  <c r="BE23" i="6" s="1"/>
  <c r="K23" i="6"/>
  <c r="CM23" i="6"/>
  <c r="DL23" i="6" s="1"/>
  <c r="AF22" i="6"/>
  <c r="BE22" i="6" s="1"/>
  <c r="CM22" i="6"/>
  <c r="DL22" i="6" s="1"/>
  <c r="K22" i="6"/>
  <c r="K13" i="6"/>
  <c r="AF13" i="6"/>
  <c r="BE13" i="6" s="1"/>
  <c r="CM13" i="6"/>
  <c r="DL13" i="6" s="1"/>
  <c r="BG28" i="6"/>
  <c r="BH28" i="6"/>
  <c r="BI28" i="6"/>
  <c r="BJ28" i="6"/>
  <c r="BR12" i="6"/>
  <c r="BI49" i="6"/>
  <c r="BJ49" i="6"/>
  <c r="BG49" i="6"/>
  <c r="BH49" i="6"/>
  <c r="DQ39" i="6"/>
  <c r="DN39" i="6"/>
  <c r="DP39" i="6"/>
  <c r="DO39" i="6"/>
  <c r="BI33" i="6"/>
  <c r="BJ33" i="6"/>
  <c r="BH33" i="6"/>
  <c r="BG33" i="6"/>
  <c r="BJ25" i="6"/>
  <c r="BG25" i="6"/>
  <c r="BI25" i="6"/>
  <c r="BH25" i="6"/>
  <c r="BR19" i="6"/>
  <c r="BR11" i="6"/>
  <c r="AF47" i="6"/>
  <c r="BE47" i="6" s="1"/>
  <c r="K47" i="6"/>
  <c r="CM47" i="6"/>
  <c r="DL47" i="6" s="1"/>
  <c r="AF31" i="6"/>
  <c r="BE31" i="6" s="1"/>
  <c r="K31" i="6"/>
  <c r="CM31" i="6"/>
  <c r="DL31" i="6" s="1"/>
  <c r="AF15" i="6"/>
  <c r="BE15" i="6" s="1"/>
  <c r="K15" i="6"/>
  <c r="CM15" i="6"/>
  <c r="DL15" i="6" s="1"/>
  <c r="AF46" i="6"/>
  <c r="BE46" i="6" s="1"/>
  <c r="CM46" i="6"/>
  <c r="DL46" i="6" s="1"/>
  <c r="K46" i="6"/>
  <c r="AF30" i="6"/>
  <c r="BE30" i="6" s="1"/>
  <c r="CM30" i="6"/>
  <c r="DL30" i="6" s="1"/>
  <c r="K30" i="6"/>
  <c r="AF14" i="6"/>
  <c r="BE14" i="6" s="1"/>
  <c r="CM14" i="6"/>
  <c r="DL14" i="6" s="1"/>
  <c r="K14" i="6"/>
  <c r="CM4" i="6"/>
  <c r="K4" i="6"/>
  <c r="K37" i="6"/>
  <c r="AF37" i="6"/>
  <c r="BE37" i="6" s="1"/>
  <c r="CM37" i="6"/>
  <c r="DL37" i="6" s="1"/>
  <c r="K21" i="6"/>
  <c r="AF21" i="6"/>
  <c r="BE21" i="6" s="1"/>
  <c r="CM21" i="6"/>
  <c r="DL21" i="6" s="1"/>
  <c r="K5" i="6"/>
  <c r="AF5" i="6"/>
  <c r="CM5" i="6"/>
  <c r="DL5" i="6" s="1"/>
  <c r="AF40" i="6"/>
  <c r="BE40" i="6" s="1"/>
  <c r="CM40" i="6"/>
  <c r="DL40" i="6" s="1"/>
  <c r="K40" i="6"/>
  <c r="AF24" i="6"/>
  <c r="BE24" i="6" s="1"/>
  <c r="CM24" i="6"/>
  <c r="DL24" i="6" s="1"/>
  <c r="K24" i="6"/>
  <c r="AF8" i="6"/>
  <c r="BE8" i="6" s="1"/>
  <c r="CM8" i="6"/>
  <c r="DL8" i="6" s="1"/>
  <c r="K8" i="6"/>
  <c r="BR28" i="6"/>
  <c r="DP10" i="6"/>
  <c r="DQ10" i="6"/>
  <c r="DO10" i="6"/>
  <c r="DN10" i="6"/>
  <c r="BG53" i="6"/>
  <c r="BH53" i="6"/>
  <c r="DN54" i="6"/>
  <c r="DO54" i="6"/>
  <c r="DQ33" i="6"/>
  <c r="DP33" i="6"/>
  <c r="DN33" i="6"/>
  <c r="DO33" i="6"/>
  <c r="BG55" i="6"/>
  <c r="BH55" i="6"/>
  <c r="BR48" i="6"/>
  <c r="BR42" i="6"/>
  <c r="DN20" i="6"/>
  <c r="DQ20" i="6"/>
  <c r="DO20" i="6"/>
  <c r="DP20" i="6"/>
  <c r="DP12" i="6"/>
  <c r="DN12" i="6"/>
  <c r="DQ12" i="6"/>
  <c r="DO12" i="6"/>
  <c r="DO35" i="6"/>
  <c r="DN35" i="6"/>
  <c r="DP35" i="6"/>
  <c r="DQ35" i="6"/>
  <c r="BR15" i="6"/>
  <c r="BI50" i="6"/>
  <c r="BJ50" i="6"/>
  <c r="BH50" i="6"/>
  <c r="BG50" i="6"/>
  <c r="BI34" i="6"/>
  <c r="BJ34" i="6"/>
  <c r="BH34" i="6"/>
  <c r="BG34" i="6"/>
  <c r="BR22" i="6"/>
  <c r="BR20" i="6"/>
  <c r="DP16" i="6"/>
  <c r="DQ16" i="6"/>
  <c r="DN16" i="6"/>
  <c r="DO16" i="6"/>
  <c r="BR6" i="6"/>
  <c r="DQ31" i="6"/>
  <c r="DP31" i="6"/>
  <c r="DN31" i="6"/>
  <c r="DO31" i="6"/>
  <c r="DN15" i="6"/>
  <c r="DP15" i="6"/>
  <c r="DQ15" i="6"/>
  <c r="DO15" i="6"/>
  <c r="BR55" i="6"/>
  <c r="AF54" i="6"/>
  <c r="BE54" i="6" s="1"/>
  <c r="CM54" i="6"/>
  <c r="DL54" i="6" s="1"/>
  <c r="K54" i="6"/>
  <c r="BI32" i="6"/>
  <c r="BJ32" i="6"/>
  <c r="BG32" i="6"/>
  <c r="BH32" i="6"/>
  <c r="BI16" i="6"/>
  <c r="BJ16" i="6"/>
  <c r="BH16" i="6"/>
  <c r="BG16" i="6"/>
  <c r="DO6" i="6"/>
  <c r="DN6" i="6"/>
  <c r="DP6" i="6"/>
  <c r="DQ6" i="6"/>
  <c r="DQ37" i="6"/>
  <c r="DN37" i="6"/>
  <c r="DP37" i="6"/>
  <c r="DO37" i="6"/>
  <c r="DP21" i="6"/>
  <c r="DQ21" i="6"/>
  <c r="DO21" i="6"/>
  <c r="DN21" i="6"/>
  <c r="DN13" i="6"/>
  <c r="DP13" i="6"/>
  <c r="DQ13" i="6"/>
  <c r="DO13" i="6"/>
  <c r="BR39" i="6"/>
  <c r="DN11" i="6"/>
  <c r="DQ11" i="6"/>
  <c r="DO11" i="6"/>
  <c r="DP11" i="6"/>
  <c r="Q59" i="2"/>
  <c r="DO60" i="6" l="1"/>
  <c r="CE60" i="6"/>
  <c r="BH60" i="6"/>
  <c r="DN60" i="6"/>
  <c r="BE5" i="6"/>
  <c r="AF60" i="6"/>
  <c r="J61" i="1" s="1"/>
  <c r="K61" i="1" s="1"/>
  <c r="K60" i="6"/>
  <c r="BJ60" i="6"/>
  <c r="DQ60" i="6"/>
  <c r="BR60" i="6"/>
  <c r="J36" i="1" s="1"/>
  <c r="BI60" i="6"/>
  <c r="CM60" i="6"/>
  <c r="BG60" i="6"/>
  <c r="DP60" i="6"/>
  <c r="X60" i="6"/>
  <c r="BE4" i="6"/>
  <c r="J58" i="1"/>
  <c r="Q12" i="10" s="1"/>
  <c r="J64" i="1"/>
  <c r="DL4" i="6"/>
  <c r="DL60" i="6" s="1"/>
  <c r="J92" i="1"/>
  <c r="BE60" i="6" l="1"/>
  <c r="J82" i="1" s="1"/>
  <c r="J88" i="1"/>
  <c r="Q16" i="10" s="1"/>
  <c r="K58" i="1"/>
  <c r="J63" i="1"/>
  <c r="J96" i="1"/>
  <c r="Q17" i="10" s="1"/>
  <c r="J99" i="1"/>
  <c r="J74" i="1"/>
  <c r="Q14" i="10" s="1"/>
  <c r="Q9" i="10"/>
  <c r="J60" i="1"/>
  <c r="K60" i="1" s="1"/>
  <c r="J78" i="1"/>
  <c r="J40" i="1"/>
  <c r="J18" i="4" s="1"/>
  <c r="Q10" i="10"/>
  <c r="J50" i="1"/>
  <c r="Q11" i="10" s="1"/>
  <c r="J54" i="1"/>
  <c r="J24" i="4" s="1"/>
  <c r="J91" i="1" l="1"/>
  <c r="K88" i="1"/>
  <c r="K91" i="1" s="1"/>
  <c r="K63" i="1"/>
  <c r="R12" i="10"/>
  <c r="K44" i="1"/>
  <c r="J46" i="1"/>
  <c r="K36" i="1"/>
  <c r="J39" i="1"/>
  <c r="K74" i="1"/>
  <c r="J77" i="1"/>
  <c r="K50" i="1"/>
  <c r="J53" i="1"/>
  <c r="K96" i="1"/>
  <c r="J98" i="1"/>
  <c r="G59" i="7"/>
  <c r="H59" i="7"/>
  <c r="I59" i="7"/>
  <c r="E3" i="7"/>
  <c r="E59" i="7" s="1"/>
  <c r="J59" i="7"/>
  <c r="K31" i="1"/>
  <c r="K32" i="1" s="1"/>
  <c r="J32" i="1"/>
  <c r="R16" i="10" l="1"/>
  <c r="J152" i="1"/>
  <c r="Q25" i="10" s="1"/>
  <c r="I152" i="1"/>
  <c r="H152" i="1"/>
  <c r="G152" i="1"/>
  <c r="K82" i="1"/>
  <c r="R15" i="10" s="1"/>
  <c r="Q15" i="10"/>
  <c r="K39" i="1"/>
  <c r="R9" i="10"/>
  <c r="K53" i="1"/>
  <c r="R11" i="10"/>
  <c r="K98" i="1"/>
  <c r="R17" i="10"/>
  <c r="K77" i="1"/>
  <c r="R14" i="10"/>
  <c r="K46" i="1"/>
  <c r="R10" i="10"/>
  <c r="J84" i="1"/>
  <c r="K152" i="1" l="1"/>
  <c r="K154" i="1" s="1"/>
  <c r="J154" i="1"/>
  <c r="K84" i="1"/>
  <c r="R25" i="10" l="1"/>
</calcChain>
</file>

<file path=xl/comments1.xml><?xml version="1.0" encoding="utf-8"?>
<x:comments xmlns:mc="http://schemas.openxmlformats.org/markup-compatibility/2006" xmlns:xr="http://schemas.microsoft.com/office/spreadsheetml/2014/revision" xmlns:x="http://schemas.openxmlformats.org/spreadsheetml/2006/main" mc:Ignorable="xr">
  <x:authors>
    <x:author>admin</x:author>
  </x:authors>
  <x:commentList/>
</x:comments>
</file>

<file path=xl/comments2.xml><?xml version="1.0" encoding="utf-8"?>
<x:comments xmlns:mc="http://schemas.openxmlformats.org/markup-compatibility/2006" xmlns:xr="http://schemas.microsoft.com/office/spreadsheetml/2014/revision" xmlns:x="http://schemas.openxmlformats.org/spreadsheetml/2006/main" mc:Ignorable="xr">
  <x:authors>
    <x:author>admin</x:author>
  </x:authors>
  <x:commentList/>
</x:comments>
</file>

<file path=xl/comments3.xml><?xml version="1.0" encoding="utf-8"?>
<x:comments xmlns:mc="http://schemas.openxmlformats.org/markup-compatibility/2006" xmlns:xr="http://schemas.microsoft.com/office/spreadsheetml/2014/revision" xmlns:x="http://schemas.openxmlformats.org/spreadsheetml/2006/main" mc:Ignorable="xr">
  <x:authors>
    <x:author>admin</x:author>
  </x:authors>
  <x:commentList/>
</x:comments>
</file>

<file path=xl/comments4.xml><?xml version="1.0" encoding="utf-8"?>
<x:comments xmlns:mc="http://schemas.openxmlformats.org/markup-compatibility/2006" xmlns:xr="http://schemas.microsoft.com/office/spreadsheetml/2014/revision" xmlns:x="http://schemas.openxmlformats.org/spreadsheetml/2006/main" mc:Ignorable="xr">
  <x:authors>
    <x:author>admin</x:author>
  </x:authors>
  <x:commentList/>
</x:comments>
</file>

<file path=xl/sharedStrings.xml><?xml version="1.0" encoding="utf-8"?>
<sst xmlns="http://schemas.openxmlformats.org/spreadsheetml/2006/main" count="1891" uniqueCount="674">
  <si>
    <t>PROJECT TITLE</t>
  </si>
  <si>
    <t>Milestone 6</t>
  </si>
  <si>
    <t>April to June 17</t>
  </si>
  <si>
    <t>IMPACT</t>
  </si>
  <si>
    <t>Impact Indicator 1</t>
  </si>
  <si>
    <t>Baseline</t>
  </si>
  <si>
    <t>Milestone 1</t>
  </si>
  <si>
    <t>Milestone 2</t>
  </si>
  <si>
    <t>Milestone 3</t>
  </si>
  <si>
    <t>Milestone 4</t>
  </si>
  <si>
    <t>Milestone 5</t>
  </si>
  <si>
    <t>Pop Target</t>
  </si>
  <si>
    <t>Improved reproductive, maternal, neo-natal and child health (RMNCH)</t>
  </si>
  <si>
    <t>Infant mortality rate (IMR) (deaths per 1,000 live births) in DFID-supported health zones - outcome level</t>
  </si>
  <si>
    <t>Planned</t>
  </si>
  <si>
    <t>NA</t>
  </si>
  <si>
    <t>Achieved</t>
  </si>
  <si>
    <t>Source / Comments</t>
  </si>
  <si>
    <t>Impact Indicator 2</t>
  </si>
  <si>
    <t>Proportion of children under five with moderate or severe stunting</t>
  </si>
  <si>
    <t>OUTCOME</t>
  </si>
  <si>
    <t>Outcome Indicator 1</t>
  </si>
  <si>
    <t>Assumptions</t>
  </si>
  <si>
    <t>Increased coverage with essential reproductive, maternal and child health services in DFID-supported health zones</t>
  </si>
  <si>
    <t>Contraceptive prevalence rate</t>
  </si>
  <si>
    <t>Government of DRC is committed to strengthening primary health care and implementing planned sector reforms. GoDRC health sector budget allocation is maintained. GoDRC leads legal reform on family planning. Development partners continue to support the health sector. Security situation does not deteriorate. Implementing agencies are able to access the health zones supported. Cold chain remains functional (which the programme itself will be supporting) and vaccines are available (which depends upon MoH delivery of this commodity).</t>
  </si>
  <si>
    <t>Data source: ASSP baseline and endpoint surveys</t>
  </si>
  <si>
    <t>Outcome Indicator 2</t>
  </si>
  <si>
    <t>Milestone Achievment</t>
  </si>
  <si>
    <t>Number of Couple Years of Protection (CYPs) achieved through family planning service provision</t>
  </si>
  <si>
    <t>No data available</t>
  </si>
  <si>
    <t>% of milestone</t>
  </si>
  <si>
    <t>SNIS / programme data
The conversion factors with which the milestones and results were calculated in years 1 and 2 differ from those used in subsequent years.</t>
  </si>
  <si>
    <t>Outcome Indicator 3</t>
  </si>
  <si>
    <t>Milestone Achiev</t>
  </si>
  <si>
    <t>Number and percentage of births attended at a health facility by skilled health personnel (KPI)</t>
  </si>
  <si>
    <t>% of population</t>
  </si>
  <si>
    <t>SNIS</t>
  </si>
  <si>
    <t>Outcome Indicator 4</t>
  </si>
  <si>
    <t>Number of sexual and gender-based violence (SGBV)  survivors who have received PEP Kits from an integrated health facility within 72 hours</t>
  </si>
  <si>
    <t>Outcome Indicator 5</t>
  </si>
  <si>
    <t>Number and percentage of 1 year old children vaccinated against measles (KPI)</t>
  </si>
  <si>
    <t>Outcome Indicator 6</t>
  </si>
  <si>
    <t>Annual health service utilisation (number and rate per capita) for curative consultations</t>
  </si>
  <si>
    <t>Disaggregated</t>
  </si>
  <si>
    <t>Pregnant women</t>
  </si>
  <si>
    <t>Children under five</t>
  </si>
  <si>
    <t>INPUTS (£)</t>
  </si>
  <si>
    <t>DFID (£)</t>
  </si>
  <si>
    <t>Govt (£)</t>
  </si>
  <si>
    <t>Other (£)</t>
  </si>
  <si>
    <t>Total (£)</t>
  </si>
  <si>
    <t>Excludes unmeasured government and service user contributions to total health service costs</t>
  </si>
  <si>
    <t>INPUTS (HR)</t>
  </si>
  <si>
    <t>DFID (FTEs)</t>
  </si>
  <si>
    <t>OUTPUT 1</t>
  </si>
  <si>
    <t>Output Indicator 1.1</t>
  </si>
  <si>
    <t>Service Delivery: Enhanced health service delivery and quality in DFID-supported health zones</t>
  </si>
  <si>
    <t>Number and percentage of pregnant women provided with two doses of intermittent presumptive treatment (IPTp) for malaria (KPI)</t>
  </si>
  <si>
    <t xml:space="preserve">Provincial and zonal health departments are committed to strengthening primary health care and implementing planned sector reforms. Provincial and zonal health departments ensure functional coordination with partner agencies. Security situation does not deteriorate. Implementing agencies are able to access the health zones supported. </t>
  </si>
  <si>
    <t>Output Indicator 1.2</t>
  </si>
  <si>
    <t>Number of children and pregnant women reached with nutritional interventions - five home visits for children and three doses of iron and folate for pregnant women</t>
  </si>
  <si>
    <t>SNIS / programme data</t>
  </si>
  <si>
    <t>Output Indicator 1.3</t>
  </si>
  <si>
    <t>Number and percentage of pregnant women and children under one year provided with a long-lasting insecticide-treated bednets (LLINs)</t>
  </si>
  <si>
    <t>Output Indicator 1.4</t>
  </si>
  <si>
    <t>Number of new acceptors of modern methods of family planning (KPI)</t>
  </si>
  <si>
    <t>Output Indicator 1.5</t>
  </si>
  <si>
    <t>Number of health facilities able to offer basic or comprehensive emergency obstetric and neonatal care</t>
  </si>
  <si>
    <t>Reference HC (bEOC)</t>
  </si>
  <si>
    <t>Hospitals (cEOC)</t>
  </si>
  <si>
    <t>Data source: Annual survey of health facilities to be carried out by IMA to ensure that all relevant components of EmONC are in place
The baseline is likely to overestimate the true figure as it is based on the presence of equipment / supplies alone (drawing on data from the baseline survey)</t>
  </si>
  <si>
    <t>Output Indicator 1.6</t>
  </si>
  <si>
    <t>Cumulative number of people provided with access to safe drinking water (KPI)</t>
  </si>
  <si>
    <t>Achieved KAP extrapoled</t>
  </si>
  <si>
    <t>Programme data</t>
  </si>
  <si>
    <t>IMPACT WEIGHTING (%)</t>
  </si>
  <si>
    <t>Output Indicator 1.7</t>
  </si>
  <si>
    <t>Cumulative number of people provided with access to and who use adequate sanitation</t>
  </si>
  <si>
    <t>RISK RATING</t>
  </si>
  <si>
    <t>Medium</t>
  </si>
  <si>
    <t>OUTPUT 2</t>
  </si>
  <si>
    <t>Output Indicator 2.1</t>
  </si>
  <si>
    <t>Human Resources: Sustained improvements to the management of human resources in the health sector</t>
  </si>
  <si>
    <t>Number  of assisted provincial health departments (PHD) using human resources statistics from iHRIS to develop HR Annuaire (human resources planning document) each year</t>
  </si>
  <si>
    <t>Output Indicator 2.2</t>
  </si>
  <si>
    <t>Blank</t>
  </si>
  <si>
    <t>OUTPUT 3</t>
  </si>
  <si>
    <t>Output Indicator 3.1</t>
  </si>
  <si>
    <t>Information Systems: Enhanced use of Health Management Information Systems (HMIS) to support decision-making</t>
  </si>
  <si>
    <t>Average number of health facilities (hospitals, health centres and health posts) whose SNIS reports are captured using DHIS2</t>
  </si>
  <si>
    <t>Data source: SNIS
Original indicator was 'Number and percentage of health zones using DHIS2 for routine health informaiton reporting' (Y2 achievement was 49 against a milestone of 49)</t>
  </si>
  <si>
    <t>Output Indicator 3.2</t>
  </si>
  <si>
    <t>Cumulative number of health zones with a score of 80% or more on the data quality reporting appraisal scheme</t>
  </si>
  <si>
    <t>Low</t>
  </si>
  <si>
    <t>OUTPUT 4</t>
  </si>
  <si>
    <t>Output Indicator 4.1</t>
  </si>
  <si>
    <t>Leadership and Governance:  Increased community and service user involvement in service planning and delivery</t>
  </si>
  <si>
    <r>
      <t>Cumulative number of 'aires de sant</t>
    </r>
    <r>
      <rPr>
        <sz val="9"/>
        <rFont val="Calibri"/>
        <family val="2"/>
      </rPr>
      <t>é</t>
    </r>
    <r>
      <rPr>
        <sz val="9"/>
        <rFont val="Arial"/>
        <family val="2"/>
      </rPr>
      <t>' for which a community score card is completed each year (to include measurement of community satisfaction and health service fees)</t>
    </r>
  </si>
  <si>
    <t>Output Indicator 4.2</t>
  </si>
  <si>
    <t>Number of CODESAs that are operational</t>
  </si>
  <si>
    <t>Output Indicator 4.3</t>
  </si>
  <si>
    <t>Cumulative number of villages which have completed the Village Assaini process</t>
  </si>
  <si>
    <t>OUTPUT 5</t>
  </si>
  <si>
    <t>Output Indicator 5.1</t>
  </si>
  <si>
    <t xml:space="preserve">Medicines, technology and infrastructure: Enhanced and appropriate use of medicines and technologies to support health service delivery. </t>
  </si>
  <si>
    <t>Cumulative number of health facilities that have been rehabilitated or constructed</t>
  </si>
  <si>
    <t>Total</t>
  </si>
  <si>
    <t>Output Indicator 5.2</t>
  </si>
  <si>
    <t>Output Indicator 5.3</t>
  </si>
  <si>
    <t>Output Indicator 5.4</t>
  </si>
  <si>
    <t>Total of HC</t>
  </si>
  <si>
    <t xml:space="preserve">Percentage of days that health facilities report stock-outs of the following 5 tracer drugs : Depo Provera, Oxytocin, SP, Zinc, Amoxicillin (any form) </t>
  </si>
  <si>
    <t>&lt;30%</t>
  </si>
  <si>
    <t>&lt;25%</t>
  </si>
  <si>
    <t>&lt;20%</t>
  </si>
  <si>
    <t>Cumulative number of health facilities in which solar cold chain for vaccines, drugs and blood was installed by the project</t>
  </si>
  <si>
    <t>Cumulative number of health facilities in which  solar lighting was installed by the project</t>
  </si>
  <si>
    <r>
      <t>Acc</t>
    </r>
    <r>
      <rPr>
        <b/>
        <sz val="14"/>
        <rFont val="Calibri"/>
        <family val="2"/>
      </rPr>
      <t>è</t>
    </r>
    <r>
      <rPr>
        <b/>
        <sz val="14"/>
        <rFont val="Arial"/>
        <family val="2"/>
      </rPr>
      <t>s aux Soins de Santé Primaires (ASSP) - Revised logframe February 2019</t>
    </r>
  </si>
  <si>
    <t>2013</t>
  </si>
  <si>
    <t>2014</t>
  </si>
  <si>
    <t>2015</t>
  </si>
  <si>
    <t>2016</t>
  </si>
  <si>
    <t>2017</t>
  </si>
  <si>
    <t>2018</t>
  </si>
  <si>
    <t>2019</t>
  </si>
  <si>
    <t>Province</t>
  </si>
  <si>
    <t>Kasai Central</t>
  </si>
  <si>
    <t>Kasai</t>
  </si>
  <si>
    <t>Maniema</t>
  </si>
  <si>
    <t>Nord Ubangi</t>
  </si>
  <si>
    <t>Tshopo</t>
  </si>
  <si>
    <t>Health Zone</t>
  </si>
  <si>
    <t>Bena Leka</t>
  </si>
  <si>
    <t>Bena Tshadi</t>
  </si>
  <si>
    <t>Demba</t>
  </si>
  <si>
    <t>Katende</t>
  </si>
  <si>
    <t>Katoka</t>
  </si>
  <si>
    <t>Lubunga</t>
  </si>
  <si>
    <t>Lukonga</t>
  </si>
  <si>
    <t>Muetshi</t>
  </si>
  <si>
    <t>Mutoto</t>
  </si>
  <si>
    <t>Ndesha</t>
  </si>
  <si>
    <t>Tshikaji</t>
  </si>
  <si>
    <t>Banga Lubaka</t>
  </si>
  <si>
    <t>Bulape</t>
  </si>
  <si>
    <t>Ilebo</t>
  </si>
  <si>
    <t>Kakenge</t>
  </si>
  <si>
    <t>Kalonda Ouest</t>
  </si>
  <si>
    <t>Kamonia</t>
  </si>
  <si>
    <t>Kamwesha</t>
  </si>
  <si>
    <t>Kanzala</t>
  </si>
  <si>
    <t>Kitangwa</t>
  </si>
  <si>
    <t>Luebo</t>
  </si>
  <si>
    <t>Mikope</t>
  </si>
  <si>
    <t>Mushenge</t>
  </si>
  <si>
    <t>Mutena</t>
  </si>
  <si>
    <t>Mweka</t>
  </si>
  <si>
    <t>Ndjoko Mpunda</t>
  </si>
  <si>
    <t>Nyanga</t>
  </si>
  <si>
    <t>Tshikapa</t>
  </si>
  <si>
    <t>Alunguli</t>
  </si>
  <si>
    <t>Ferekeni</t>
  </si>
  <si>
    <t>Kailo</t>
  </si>
  <si>
    <t>Kalima</t>
  </si>
  <si>
    <t>Kampene</t>
  </si>
  <si>
    <t>Kindu</t>
  </si>
  <si>
    <t>Lubutu</t>
  </si>
  <si>
    <t>Obokote</t>
  </si>
  <si>
    <t>Pangi</t>
  </si>
  <si>
    <t>Punia</t>
  </si>
  <si>
    <t>Abuzi</t>
  </si>
  <si>
    <t>Bili</t>
  </si>
  <si>
    <t>Bosobolo</t>
  </si>
  <si>
    <t>Businga</t>
  </si>
  <si>
    <t>Gbadolite</t>
  </si>
  <si>
    <t>Karawa</t>
  </si>
  <si>
    <t>Loko</t>
  </si>
  <si>
    <t>Mobayi Mbongo</t>
  </si>
  <si>
    <t>Wapinda</t>
  </si>
  <si>
    <t>Wasolo</t>
  </si>
  <si>
    <t>Yakoma</t>
  </si>
  <si>
    <t>Banalia</t>
  </si>
  <si>
    <t>Bengamisa</t>
  </si>
  <si>
    <t>Ubundu</t>
  </si>
  <si>
    <t># Health Areas</t>
  </si>
  <si>
    <t>FY1</t>
  </si>
  <si>
    <t>FY2</t>
  </si>
  <si>
    <t>FY3</t>
  </si>
  <si>
    <t>FY4</t>
  </si>
  <si>
    <t>FY5</t>
  </si>
  <si>
    <t>POPULATION BY CALENDAR YEAR</t>
  </si>
  <si>
    <t>POPULATION BY PROJECT YEAR</t>
  </si>
  <si>
    <t>ASSP</t>
  </si>
  <si>
    <t>FY6Q1</t>
  </si>
  <si>
    <t>FY6Q2</t>
  </si>
  <si>
    <t>FY6Q3</t>
  </si>
  <si>
    <t>FY6Q4</t>
  </si>
  <si>
    <t>FY6*</t>
  </si>
  <si>
    <t>FY6**</t>
  </si>
  <si>
    <t>MALNUTRITION &lt;CHILDREN UNDER FIVE</t>
  </si>
  <si>
    <t>PREGNANT WOMEN</t>
  </si>
  <si>
    <t>CF</t>
  </si>
  <si>
    <t>CHILDREN UNDER 1</t>
  </si>
  <si>
    <t>CHILDREN UNDER 5</t>
  </si>
  <si>
    <t>WOMEN OF REPRODUCTIVE AGE (15 - 49 YEARS)</t>
  </si>
  <si>
    <t>YEAR 6 QUARTERLY BREAK-DOWN</t>
  </si>
  <si>
    <t>Prevalence Estimate by Calendar Year</t>
  </si>
  <si>
    <t>Prevalence Estimate by Project Year</t>
  </si>
  <si>
    <t>SGBV SURVIVORS</t>
  </si>
  <si>
    <t>Lead Health Center</t>
  </si>
  <si>
    <t>Reference Hospital</t>
  </si>
  <si>
    <t>Other Facilities</t>
  </si>
  <si>
    <t>TOTAL</t>
  </si>
  <si>
    <t>2018 HEALTH FACILITIES</t>
  </si>
  <si>
    <t xml:space="preserve">FY6 EmONC Facilities </t>
  </si>
  <si>
    <t>cEmONC</t>
  </si>
  <si>
    <t>bEmONC</t>
  </si>
  <si>
    <t>Average number of CODESAs that are operational</t>
  </si>
  <si>
    <t>Contraceptive prevalence of modern methods by method (MICS 2010)</t>
  </si>
  <si>
    <t>Method</t>
  </si>
  <si>
    <t>Prevalence by method</t>
  </si>
  <si>
    <t>Female sterilization</t>
  </si>
  <si>
    <t>Male sterilization</t>
  </si>
  <si>
    <t>IUD</t>
  </si>
  <si>
    <t>Injectables</t>
  </si>
  <si>
    <t>Implants</t>
  </si>
  <si>
    <t xml:space="preserve">Pills </t>
  </si>
  <si>
    <t>Male condoms</t>
  </si>
  <si>
    <t>Female condoms</t>
  </si>
  <si>
    <t>LAM</t>
  </si>
  <si>
    <t>Vaginal barrier methods (diaphragm, spermicidal foams)</t>
  </si>
  <si>
    <t>Expected proportion of new users of contraceptive modern methods by method within the ASSP supported HZs* (Method mix by year)</t>
  </si>
  <si>
    <t>FY 1</t>
  </si>
  <si>
    <t>FY 2</t>
  </si>
  <si>
    <t>FY 3</t>
  </si>
  <si>
    <t>FY 4</t>
  </si>
  <si>
    <t>FY 5</t>
  </si>
  <si>
    <t>* Estimated in an empirical manner</t>
  </si>
  <si>
    <t>Expected number of new users of contraceptive modern methods by method within the ASSP supported HZs</t>
  </si>
  <si>
    <t>Target FY 1</t>
  </si>
  <si>
    <t>Target FY 2</t>
  </si>
  <si>
    <t>Target FY 3</t>
  </si>
  <si>
    <t>Target FY 4</t>
  </si>
  <si>
    <t>Target FY 5</t>
  </si>
  <si>
    <t>Quantity of contraceptives expected to be provided by method within the ASSP supported HZs*</t>
  </si>
  <si>
    <t>Qty per woman per year</t>
  </si>
  <si>
    <t>ASSP (realistic)</t>
  </si>
  <si>
    <t>Old conversion factors</t>
  </si>
  <si>
    <t>Expected CYPs by contraceptive modern method used within the ASSP supported HZs</t>
  </si>
  <si>
    <t>Realistic target</t>
  </si>
  <si>
    <t>Total per year</t>
  </si>
  <si>
    <t>Cumulative</t>
  </si>
  <si>
    <t>New conversion factors</t>
  </si>
  <si>
    <t>Female</t>
  </si>
  <si>
    <t>Male</t>
  </si>
  <si>
    <t>&lt;17%</t>
  </si>
  <si>
    <t>Data source: provincial HR annulaire
Original indicator was 'Number of health zones implementing iHRIS' (Y2 achievement was zero against a milestone of 17)
Next indicators was Number of health zones in which at least 80% of health personnel have had their pay (salaries, prime de risque and prime locale) captured in iHRIS (this was not measured in Y4 against a milestone of 22)</t>
  </si>
  <si>
    <t>CPR of modern methods (DHS 2007)</t>
  </si>
  <si>
    <t>CPR of modern methods (MICS 2010)</t>
  </si>
  <si>
    <r>
      <t xml:space="preserve">Modern methods of contraception include female and male sterilization, oral hormonal pills, the intra-uterine device (IUD), the male condom, injectables, the implant (including Norplant), vaginal barrier methods, the female condom and emergency contraception.
</t>
    </r>
    <r>
      <rPr>
        <u/>
        <sz val="10"/>
        <color theme="1"/>
        <rFont val="Calibri"/>
        <family val="2"/>
        <scheme val="minor"/>
      </rPr>
      <t>Source</t>
    </r>
    <r>
      <rPr>
        <sz val="10"/>
        <color theme="1"/>
        <rFont val="Calibri"/>
        <family val="2"/>
        <scheme val="minor"/>
      </rPr>
      <t xml:space="preserve">: The official United Nations site for the MDG indicators http://unstats.un.org/unsd/mdg/Metadata.aspx?IndicatorId=0&amp;SeriesId=731 </t>
    </r>
  </si>
  <si>
    <t>Target FY6</t>
  </si>
  <si>
    <t>Target FY 6</t>
  </si>
  <si>
    <t>Project End</t>
  </si>
  <si>
    <t>Maniema/Nord-Ubangi/Tshopo</t>
  </si>
  <si>
    <t>FY 6</t>
  </si>
  <si>
    <t>CYP per method</t>
  </si>
  <si>
    <t>CYP Per method</t>
  </si>
  <si>
    <t>Old Values</t>
  </si>
  <si>
    <t xml:space="preserve">Current Values </t>
  </si>
  <si>
    <t>Average number of health zones with a score of 80% or more on the data quality reporting appraisal scheme</t>
  </si>
  <si>
    <t>Level and statement</t>
  </si>
  <si>
    <t>Indicator number</t>
  </si>
  <si>
    <t>2016 Indicator description / title</t>
  </si>
  <si>
    <t>Original target</t>
  </si>
  <si>
    <t>Revised target 2016</t>
  </si>
  <si>
    <t>Comments 2016</t>
  </si>
  <si>
    <t>2018 Indicator title</t>
  </si>
  <si>
    <t>Amendments to Indicator 2018</t>
  </si>
  <si>
    <t>Original milestone year 5</t>
  </si>
  <si>
    <t>Revised  milestone year 5</t>
  </si>
  <si>
    <t>Revised target 2018</t>
  </si>
  <si>
    <t>Comments 2018</t>
  </si>
  <si>
    <t>No change</t>
  </si>
  <si>
    <t>no change</t>
  </si>
  <si>
    <t>no change to target /year 5 indicator (not to be remeasured in year 6)</t>
  </si>
  <si>
    <t>-</t>
  </si>
  <si>
    <t>New indicator</t>
  </si>
  <si>
    <t>no change to target /year 5 indicator (not to be remeasured in year 6)- indicator dictionary updated</t>
  </si>
  <si>
    <t>Baseline has been modified in light of baseline survey results. Target has been increased in light of strong performance in new acceptors (output indicator 1.4) in Y2 and early Y3, and high proportion of long-term methods in the method mix. Achieving the target would put ASSP health zones on track to reach 20% CPR by 2020.</t>
  </si>
  <si>
    <t>This target has been changed back to the original target of 10% given the programme issues affecting the programme during the period when the endline survey was undertaken (not to be remeasured in year 6)- indicator dictionary updated</t>
  </si>
  <si>
    <t>Figures have been modified to account for change in conversion factors, but no other change has been made</t>
  </si>
  <si>
    <r>
      <t xml:space="preserve">This target has </t>
    </r>
    <r>
      <rPr>
        <b/>
        <sz val="10"/>
        <rFont val="Arial"/>
        <family val="2"/>
      </rPr>
      <t>gone up</t>
    </r>
    <r>
      <rPr>
        <sz val="10"/>
        <rFont val="Arial"/>
        <family val="2"/>
      </rPr>
      <t xml:space="preserve"> due to overperformance on this indicator to date.
Minor update to indicator wording in indicator dictionary</t>
    </r>
  </si>
  <si>
    <t>Modified to account for changes to number of health zones and hence population. Wording has been changed from "Number of births attended by skilled health personnel" to reflect the fact that data are only routinely collected at health facilities.</t>
  </si>
  <si>
    <t>358,613
95%</t>
  </si>
  <si>
    <t xml:space="preserve">339,739
90%
</t>
  </si>
  <si>
    <r>
      <t>This year 5 milestone was heavily affected by the violence in the Kasais so also</t>
    </r>
    <r>
      <rPr>
        <b/>
        <sz val="10"/>
        <rFont val="Arial"/>
        <family val="2"/>
      </rPr>
      <t xml:space="preserve"> reducing </t>
    </r>
    <r>
      <rPr>
        <sz val="10"/>
        <rFont val="Arial"/>
        <family val="2"/>
      </rPr>
      <t>the overall target to be achieved</t>
    </r>
  </si>
  <si>
    <t>Reduced in line with low numbers achieved in first to years (milestones and target have been modified to reflect realistic expectations in light of performance so far).</t>
  </si>
  <si>
    <r>
      <t xml:space="preserve">the year 5 milestone and overall year 5 target has been </t>
    </r>
    <r>
      <rPr>
        <b/>
        <sz val="10"/>
        <rFont val="Arial"/>
        <family val="2"/>
      </rPr>
      <t>reduced</t>
    </r>
    <r>
      <rPr>
        <sz val="10"/>
        <rFont val="Arial"/>
        <family val="2"/>
      </rPr>
      <t xml:space="preserve"> to reflect realistic expectations in light of performance so far. This revised milestone and target still represents a 10% increase year on year.  The indicator dictionary has been updated</t>
    </r>
  </si>
  <si>
    <t>Modified in light of strong performnce in Y1 and Y2 against this indicator, and to account for changes to number of health zones and hence population</t>
  </si>
  <si>
    <t>312,890
95%</t>
  </si>
  <si>
    <t>279,954
85%</t>
  </si>
  <si>
    <r>
      <t xml:space="preserve">This year 5 milestone was heavily affected by the violence in the Kasais so also </t>
    </r>
    <r>
      <rPr>
        <b/>
        <sz val="10"/>
        <rFont val="Arial"/>
        <family val="2"/>
      </rPr>
      <t>reducing</t>
    </r>
    <r>
      <rPr>
        <sz val="10"/>
        <rFont val="Arial"/>
        <family val="2"/>
      </rPr>
      <t xml:space="preserve"> the overall target to be achieved</t>
    </r>
  </si>
  <si>
    <t>Moved from output to outcome level
Modified to account for changes to number of health zones and hence population</t>
  </si>
  <si>
    <t>5,662,314
60%</t>
  </si>
  <si>
    <t>4,864,871
52%</t>
  </si>
  <si>
    <r>
      <t xml:space="preserve">This year 5 milestone was heavily affected by the violence in the Kasais so also </t>
    </r>
    <r>
      <rPr>
        <b/>
        <sz val="10"/>
        <rFont val="Arial"/>
        <family val="2"/>
      </rPr>
      <t xml:space="preserve">reducing </t>
    </r>
    <r>
      <rPr>
        <sz val="10"/>
        <rFont val="Arial"/>
        <family val="2"/>
      </rPr>
      <t xml:space="preserve">the overall target to be achieved. The indicator dictionary has been updated </t>
    </r>
  </si>
  <si>
    <t>Moved from outcome to output level
Modified to account for changes to number of health zones and hence population</t>
  </si>
  <si>
    <t>320,864
85%</t>
  </si>
  <si>
    <t>283,116
75%</t>
  </si>
  <si>
    <r>
      <t xml:space="preserve">With regard to year 5 milestones - DFID is is responsible for  providing SP in Kasai province , GF is now responsible for Maniema and PMI on Kasai central. There have been stockouts of drugs provided by both PMI and GF.  In addition this indicator was affected by violence in the Kasai's.  The overall project target has however </t>
    </r>
    <r>
      <rPr>
        <b/>
        <sz val="10"/>
        <rFont val="Arial"/>
        <family val="2"/>
      </rPr>
      <t xml:space="preserve">gone up </t>
    </r>
    <r>
      <rPr>
        <sz val="10"/>
        <rFont val="Arial"/>
        <family val="2"/>
      </rPr>
      <t>due to previous overperformance. The indicator dictionary has been updated.</t>
    </r>
  </si>
  <si>
    <t>Number of children and pregnant women reached with nutritional interventions (eg five home visits for children and three doses of iron and folate for pregnant women)</t>
  </si>
  <si>
    <t>Moved from outcome to output level
Modified to account for changes to number of health zones and hence population
'Nutrition-relevant' changed to 'specific nutritional interventions' to reflect that this indicator relates only to the latter (larger numbers will be reached with nutrition-relevant interventions)</t>
  </si>
  <si>
    <t>minor clarification of wording</t>
  </si>
  <si>
    <r>
      <t xml:space="preserve">This year 5 milestone was heavily affected by the violence in the Kasais.  The overall year 5 target however has </t>
    </r>
    <r>
      <rPr>
        <b/>
        <sz val="10"/>
        <rFont val="Arial"/>
        <family val="2"/>
      </rPr>
      <t>gone up</t>
    </r>
    <r>
      <rPr>
        <sz val="10"/>
        <rFont val="Arial"/>
        <family val="2"/>
      </rPr>
      <t xml:space="preserve"> due to previous overperformance on this indicator.
The indicator dictionary has been updated </t>
    </r>
  </si>
  <si>
    <t>Moved from outcome to output level
Modified to reflect changes in the population covered by malaria interventions through ASSP (as opposed to by other programmes / donors)</t>
  </si>
  <si>
    <t>245,172
90%</t>
  </si>
  <si>
    <t>110,000
33%</t>
  </si>
  <si>
    <r>
      <t>This year 5 milestone was heavily affected by violence in the Kasai's, as this is the only area where nets are distributed by the programme so also</t>
    </r>
    <r>
      <rPr>
        <b/>
        <sz val="10"/>
        <rFont val="Arial"/>
        <family val="2"/>
      </rPr>
      <t xml:space="preserve"> reducing</t>
    </r>
    <r>
      <rPr>
        <sz val="10"/>
        <rFont val="Arial"/>
        <family val="2"/>
      </rPr>
      <t xml:space="preserve"> the overall target to be achieved. The indicator dictionary has been updated</t>
    </r>
  </si>
  <si>
    <t>Milestones have been increased in light of strong performace to date</t>
  </si>
  <si>
    <r>
      <t xml:space="preserve">The year 5 milestone has been reduced slightly to account for slowing of activities due to programme issues. The target has </t>
    </r>
    <r>
      <rPr>
        <b/>
        <sz val="10"/>
        <rFont val="Arial"/>
        <family val="2"/>
      </rPr>
      <t xml:space="preserve">gone up </t>
    </r>
    <r>
      <rPr>
        <sz val="10"/>
        <rFont val="Arial"/>
        <family val="2"/>
      </rPr>
      <t>however due to previous overperformance on this indicator. The indicator dictionary has been updated</t>
    </r>
  </si>
  <si>
    <t>Cumulative number of health facilities able to offer basic or comprehensive emergency obstetric and neonatal care</t>
  </si>
  <si>
    <t>Modified to reflect four health zones (1 hospital and three reference health centres) in each of the 52 health zones
Wording changed to reflect the fact that this is an output (versus outcome) level indicator</t>
  </si>
  <si>
    <t>modified to reflect that we are measuring ability to provide care on basis of training, equipment and supplies at a point in time, not on a cumulative basis (as numbers could go up or down)</t>
  </si>
  <si>
    <t>The way this indicator will be measured has undergone significant clarification in the indicator dictionary and supporting additional information.  Measurement is now based on annual sampling of health facilities.  The revised target represents a reasonable reduction in expactations given the programme challenges in 2016/2017.</t>
  </si>
  <si>
    <t>Cumulative number of people provided with access to safe drinking water by ASSP (KPI)</t>
  </si>
  <si>
    <t>Disaggregated to differentiate between interim estimated results, and final results confirmed by KAP survey
Year 2 results have been updated to remove those associated with non-existent (fraudulent) water points</t>
  </si>
  <si>
    <t>The logframe and indicator dictionary has been updated to clarify that only the number of people accessing drinking water after final KAP survey in villages will be counted towards milestone targets. The reduction in target has been made to reflect  underperformance on this indicator in previous years, violence in the Kasai's and disruptions to the programme in 2016/2017</t>
  </si>
  <si>
    <t>Disaggregated to differentiate between interim estimated results, and final results confirmed by KAP survey</t>
  </si>
  <si>
    <t>The logframe and indicator dictionary has been updated to clarify that only the number of people with access to and who use adequate sanitation after final KAP survey in villages will be counted towards milestone targets. The reduction in target has been made to reflect  underperformance on this indicator in previous years, violence in the Kasai's and disruptions to the programme in 2016/ 2017</t>
  </si>
  <si>
    <t>Number of health zones in which at least 80% of health personnel have had their pay (salaries, prime de risque and prime locale) captured in iHRIS</t>
  </si>
  <si>
    <t>This indicator has been changed - previous indicator now moved to discarded indicators</t>
  </si>
  <si>
    <t>For many reasons it was not possible to roll out the additional IHRIS training which would have been required to deliver the previous milestone.  The indicator proposed therefore provides evidence that an annual review of the healthcare workforce within the province (looking at staffing levels, gaps that need to be filled and stategic planning) has been undertaken using information from iHRIS.</t>
  </si>
  <si>
    <t>Cumulative number of health facilities (hospitals, health centres and health posts) whose SNIS reports are captured using DHIS2</t>
  </si>
  <si>
    <t>The indicator has been chaged from a cumulative measure to an average measure</t>
  </si>
  <si>
    <t>The year 5 milestone was achieved in 2 quarters of year 4 and now includes over 90% of health facilities. It now therefore makes more sense to measure average numbers rather than cumulative numbers to better refect on-going performance over the monitoring period.  The indicator and indicator dictionary have been updated</t>
  </si>
  <si>
    <t>Modified in light of changes to the number and proportion of health areas covered by the programme and intervention</t>
  </si>
  <si>
    <t>Cummulative number of assisted health centers with at least one community score card exercise completed during the course of the project (e.g. community satisfaction &amp; health services fees)</t>
  </si>
  <si>
    <t xml:space="preserve">This indicator definition has been changed to clarify that this is a cumulative figure over the course of the project rather than an annual figure </t>
  </si>
  <si>
    <t>This target was heavily affected by violence in the Kasai's. This indicator and indicator dictionary have been updated.</t>
  </si>
  <si>
    <t>Cumulative number of CODESAs that are operational</t>
  </si>
  <si>
    <t>The indicator dictionary has been updated</t>
  </si>
  <si>
    <t>This activity was shut down in the Kasai's because of the violence and insecurity and work in other areas slowed or stopped due to programme issues</t>
  </si>
  <si>
    <t>Cumulative number of health facilities with a functional solar cold chain for vaccines, drugs and blood</t>
  </si>
  <si>
    <t>New indicator. Based on 50% of HCs and 100% of hospitals, BCZS and CDRs.</t>
  </si>
  <si>
    <t>This target was heavily affected by violence and insecurity in the Kasai's and other programme issues.  Progress was also limited by the equipment that IMA was authorised to purchase after costs were higher than expected</t>
  </si>
  <si>
    <t>Cumulative number of health facilities with functional solar lighting</t>
  </si>
  <si>
    <t>New indicator. Based on 80% of facilities.</t>
  </si>
  <si>
    <t>Average quarterly number and percentage of health facilities reporting stock-outs of one day or more of any of the following 5 drugs within the quarter: Depo Provera, Oxytocin, SP, Zinc, Amoxiciline 250</t>
  </si>
  <si>
    <t>&lt;10% (but related to a different indicator measurement)</t>
  </si>
  <si>
    <t>Equivalent numerical targets have been set for the milestones and target (93 is equivlent to &lt;10%). No other change.</t>
  </si>
  <si>
    <t>This indicator has been changed to better reflect actual levels of stock outs</t>
  </si>
  <si>
    <t>&lt;10%</t>
  </si>
  <si>
    <t>This indicator has been modified to better reflect actual levels of stock.  This indicator is 'easier' to acheive than the previous target however it has also been heavily affected by violence and insecurity in the Kasai's and programme issues.  The revised indicator therefore provides a level which is achievable given the external circumstances.</t>
  </si>
  <si>
    <t>DISCARDED INDICATORS</t>
  </si>
  <si>
    <t>Enhanced health service delivery and quality in DFID-supported health zones</t>
  </si>
  <si>
    <t>Percentage of children under five with diarrhea who received either ORS or RHS</t>
  </si>
  <si>
    <t>Not useful as an output indicator, as data can only be collected at baseline and at endpoint, through the Tulane impact evaluation surveys</t>
  </si>
  <si>
    <t>Increased empowerment and accountability in health service planning and delivery in DFID-supported health zones</t>
  </si>
  <si>
    <t xml:space="preserve">Number of health zones implementing IHRIS </t>
  </si>
  <si>
    <t>Replaced by output indicator 2.1</t>
  </si>
  <si>
    <t>Number and Percentage of HZs using DHIS 2 for Routine Health Information reporting</t>
  </si>
  <si>
    <t>Replaced by output indicator 3.1</t>
  </si>
  <si>
    <t>Improved access to health services in DFID-supported health zones</t>
  </si>
  <si>
    <t>Number of new consultations of pregnant women and children under five (curative consultations)</t>
  </si>
  <si>
    <t>Subsumed into disaggregation of outcome indicator 6</t>
  </si>
  <si>
    <t>Medicines, technology and infrastructure: Enhanced and appropriate use of medicines and technologies to support health service delivery</t>
  </si>
  <si>
    <t>Replaced by indicator 5.4</t>
  </si>
  <si>
    <t>Proposed Revision of the ASSP Framework to Align with the six HSS Pillars : Lexicon indicators</t>
  </si>
  <si>
    <t>Level</t>
  </si>
  <si>
    <t>Indicators</t>
  </si>
  <si>
    <t xml:space="preserve">Definition </t>
  </si>
  <si>
    <t>Calculation method</t>
  </si>
  <si>
    <t>Source of data</t>
  </si>
  <si>
    <t>Level of the collection</t>
  </si>
  <si>
    <t>Change of Direction</t>
  </si>
  <si>
    <t>To report every month/quarter</t>
  </si>
  <si>
    <t>Observation</t>
  </si>
  <si>
    <t>Numerator</t>
  </si>
  <si>
    <t>Denominator</t>
  </si>
  <si>
    <r>
      <t>Overall Objective</t>
    </r>
    <r>
      <rPr>
        <b/>
        <sz val="9"/>
        <rFont val="Times New Roman"/>
        <family val="1"/>
      </rPr>
      <t xml:space="preserve">: Improved reproductive, maternal, neo-natal and child health (RMNCH) </t>
    </r>
  </si>
  <si>
    <t>Number of children dying before the age of one year on the total number of live births in health zones supported by DFID</t>
  </si>
  <si>
    <t>Number of children died before the age of one</t>
  </si>
  <si>
    <t xml:space="preserve">Number of live birth </t>
  </si>
  <si>
    <t>SURVEY (Tulane Baseline and Endline surveys)</t>
  </si>
  <si>
    <t>Household survey</t>
  </si>
  <si>
    <t>Decrease = good</t>
  </si>
  <si>
    <t>No</t>
  </si>
  <si>
    <t>This statistic is expressed per 1 000 births (‰)</t>
  </si>
  <si>
    <t>Prevalence of (moderately and severely) stunted children is the percentage of children aged 0-59 months whose height for age are less than two standard deviations below the median weight for height of the international reference population. The international reference population, often referred to as the NCHS/WHO reference population, was formulated by the National Center for Health Statistics (NCHS) as a reference for the United States and later adopted by the World Health Organization (WHO).</t>
  </si>
  <si>
    <t>Number of children under age five that fall below minus two standard deviations from the median weight for height of the NCHS/WHO standard  (moderate and severe)</t>
  </si>
  <si>
    <t>Total number of children under age five that were weighed</t>
  </si>
  <si>
    <t>This statistic is expressed as a percentage</t>
  </si>
  <si>
    <r>
      <t>Project Outcome:</t>
    </r>
    <r>
      <rPr>
        <sz val="10"/>
        <rFont val="Calibri"/>
        <family val="2"/>
      </rPr>
      <t xml:space="preserve"> </t>
    </r>
    <r>
      <rPr>
        <sz val="10"/>
        <color rgb="FF000000"/>
        <rFont val="Times New Roman"/>
        <family val="1"/>
      </rPr>
      <t xml:space="preserve">increased coverage with essential reproductive, maternal and child health services </t>
    </r>
  </si>
  <si>
    <t>Outcome  Indicator 1: Contraceptive prevalence rate</t>
  </si>
  <si>
    <t>Contraceptive prevalence rate is the proportion of women of reproductive age who are using (or whose partner is using) a contraceptive method at a given point in time</t>
  </si>
  <si>
    <t>Number of women of reproductive age at risk of pregnancy using family planning methods.</t>
  </si>
  <si>
    <t>Number of women of reproductive age at risk of pregnancy</t>
  </si>
  <si>
    <t>Increase = good</t>
  </si>
  <si>
    <t>Measuring the effectiveness of family planning services (maternal health)
This statistic is expressed as a percentage</t>
  </si>
  <si>
    <t>Sum of values generated by multiplying the quantities of contraceptives distributed by type with conversion factors estimating the average duration of their effectiveness</t>
  </si>
  <si>
    <r>
      <rPr>
        <b/>
        <u/>
        <sz val="9"/>
        <rFont val="Arial"/>
        <family val="2"/>
      </rPr>
      <t>Sum of</t>
    </r>
    <r>
      <rPr>
        <b/>
        <sz val="9"/>
        <rFont val="Arial"/>
        <family val="2"/>
      </rPr>
      <t xml:space="preserve"> </t>
    </r>
    <r>
      <rPr>
        <sz val="9"/>
        <rFont val="Arial"/>
        <family val="2"/>
      </rPr>
      <t>: Quantity of Depo Provera distributed*0.25 + Quantity of Pill distributed*0.067 + Quantity of Mini-pill distributed*0.067 + Quantity of IUD *4.6 + Quantity of Implant*3.8 + Quantity of Male condom distributed*0.008 + Quantity of Female condom distributed*0.008 + Quantity of Spermicide tablets distributed*0.008 + Quantity of Spermicide can*0.2 + Quantity of Female Sterilization performed*12.5 + Quantity of Male Sterilization performed*12.5 + Quantity of Method auto-observation (MAO)*2 + Quantity of Cyclebeads (Standard Days Method)*2 + Quantity of Lactation amenorrhea method (LAM)*2</t>
    </r>
  </si>
  <si>
    <t>DRC national DHIS 2 database</t>
  </si>
  <si>
    <t>Health Facilities (Health Center, Reference General Hospital, Reference Health Center)</t>
  </si>
  <si>
    <t>Increase = Good</t>
  </si>
  <si>
    <t>Yes</t>
  </si>
  <si>
    <t>Measuring the effectiveness of family planning services (maternal health)</t>
  </si>
  <si>
    <t>Number of expected deliveries (equivalent to 4% of the total population)</t>
  </si>
  <si>
    <t>Health Facilities (Health Center, Reference General Hospital, Reference Health Center), Central Office of the Health Zone</t>
  </si>
  <si>
    <t>ASSP Key performance indicator</t>
  </si>
  <si>
    <t>Number of women or men survivors of sexual violence (regardless of age) who received a PEP kit within 72 hours in a supported health facility</t>
  </si>
  <si>
    <t xml:space="preserve">Sum of women and men SGBV survivors who received PEP kit within 72 hours in a supported health facility. </t>
  </si>
  <si>
    <t xml:space="preserve">This indicator is often compared to the total number of SGBV survivors received in health facilities, and the number of those presenting within 72 hours.   Comparing in this way allows the performance of the programme (provision of PEP to those eligable) to be measured against demand (those eligable to receive PEP). </t>
  </si>
  <si>
    <t>Number of children younger than 1 year who received routine vaccination against measles in a health facility according to the immunization schedule in force in DRC</t>
  </si>
  <si>
    <t>Number of children under 1 year who received routine one dose of vaccine against measles</t>
  </si>
  <si>
    <t>Expected number of surviving infants (equivalent to 3.49% of the total population)</t>
  </si>
  <si>
    <t>ASSP Key performance indicator.</t>
  </si>
  <si>
    <t>Volume of new curative consultations in health facilities</t>
  </si>
  <si>
    <t>Number of new cases seen in health centres and  hospitals per assisted area</t>
  </si>
  <si>
    <t>Total population of assisted area</t>
  </si>
  <si>
    <t xml:space="preserve">DRC national DHIS 2 database </t>
  </si>
  <si>
    <t>ASSP Key performance indicator
(disaggregated by sex)</t>
  </si>
  <si>
    <r>
      <t xml:space="preserve">Output/Pillar 1- Service Delivery: </t>
    </r>
    <r>
      <rPr>
        <sz val="10"/>
        <rFont val="Times New Roman"/>
        <family val="1"/>
      </rPr>
      <t>Enhanced health service delivery and quality in DFID-supported health zones</t>
    </r>
  </si>
  <si>
    <t>Number of pregnant women who received at least 2 doses of Sulfadoxine-Pyrimethamine during antenatal care according to the standards of the IPT to prevent malaria</t>
  </si>
  <si>
    <t xml:space="preserve">Number of pregnant women who received 2nd dose of SP at ANC </t>
  </si>
  <si>
    <t>Number of expected pregnant women (equivalent to 4% of the total population)</t>
  </si>
  <si>
    <t xml:space="preserve">ASSP Key performance indicator
Note ASSP does not have responsibility for supply of SP to all served health zones. However overall population measurement for this indicator remains as there is expectation that the programme will retain emergency stocks of medication to supply the programme as needed. </t>
  </si>
  <si>
    <t>Number of children under five and pregnant women who received the intervention of a nutrition program supported by DFID</t>
  </si>
  <si>
    <r>
      <rPr>
        <b/>
        <u/>
        <sz val="9"/>
        <rFont val="Arial"/>
        <family val="2"/>
      </rPr>
      <t>Sum of</t>
    </r>
    <r>
      <rPr>
        <sz val="9"/>
        <rFont val="Arial"/>
        <family val="2"/>
      </rPr>
      <t xml:space="preserve"> : Total number of children under 5 who have benefited from the 5th nutritional follow-up visit with completed cards by relays + Total number of pregnant women who received the third dose of iron-folate in DFID-ASSP Health areas </t>
    </r>
  </si>
  <si>
    <t xml:space="preserve">DRC national DHIS2/ASSP nutrition module in DHIS2 </t>
  </si>
  <si>
    <t>Health Facilities (Health Center, Reference General Hospital, Reference Health Center) and Community</t>
  </si>
  <si>
    <t>This indicator is disaggregated by U5 home visits by relays  and PW received 3 Iron/Folic courses</t>
  </si>
  <si>
    <t>Number of pregnant women who attended antenatal care and children who attended the preschool consultation benefited from the LLINs to protect against malaria</t>
  </si>
  <si>
    <r>
      <rPr>
        <b/>
        <u/>
        <sz val="9"/>
        <rFont val="Arial"/>
        <family val="2"/>
      </rPr>
      <t>Sum of</t>
    </r>
    <r>
      <rPr>
        <sz val="9"/>
        <rFont val="Arial"/>
        <family val="2"/>
      </rPr>
      <t xml:space="preserve"> : Pregnant women who attended antenatal care and have benefited from the LLINs + Children under 1 year who completed their vaccination schedule (received VAR) and benefited from the LLINs</t>
    </r>
  </si>
  <si>
    <r>
      <rPr>
        <b/>
        <u/>
        <sz val="9"/>
        <rFont val="Arial"/>
        <family val="2"/>
      </rPr>
      <t>Sum of</t>
    </r>
    <r>
      <rPr>
        <sz val="9"/>
        <rFont val="Arial"/>
        <family val="2"/>
      </rPr>
      <t xml:space="preserve"> : Total of expected Pregnant women who attended antenatal care (equivalent to 4% of total population) + Total of expected surviving infants (equivalent to 3.45% of total population) </t>
    </r>
  </si>
  <si>
    <t xml:space="preserve">This indicator is disaggregated and collected in 17 HZ in which ASSP is now the only in routine distributor of LLINs.  The number of health zones for which ASSP is responsible for net procurement has changed over time. </t>
  </si>
  <si>
    <t xml:space="preserve">Number of men and women who are new acceptors of a modern contraceptive </t>
  </si>
  <si>
    <t xml:space="preserve">Total number of women and men who have newly accepted a modern method of family planning </t>
  </si>
  <si>
    <t>ASSP Key performance indicator
This indicator is also reported as a percentage of women of reproductive age.
It is also disagregated by age</t>
  </si>
  <si>
    <t xml:space="preserve">The total number of health facilities that have the trained staff, equipments and essential medicines ready to offer basic and comprehensive emergency obstetric and neonatal care </t>
  </si>
  <si>
    <t>Calculated through survey of a sample of health centres (57 surveyed = 27%) and hospitals (19 surveyed=37%).  
The sample percentage of health centres with the trained staff, equipments and essential medicines to offer  B-EmONC will  be applied to the total number of centres that were targeted by the intervention (208).  The sample percentage of hospitals with the trained staff, equipments and essential medicines to offer  C-EmONC will  be applied to the total number of hospitals that were targeted by the intervention (52).  The two numbers are then added together to give a total number of facilities able to offer EmONC services . 
SEE ADDITIONAL TAB FOR MORE DETAILED DATA ON CALCULATION</t>
  </si>
  <si>
    <t>Survey by IMA World Health</t>
  </si>
  <si>
    <t xml:space="preserve">Annual reporting
4 health centres per health zone (208) have been supported with the full full package of training, drugs and equipment to allow them to deliver BeMONC services. In addition one hospital per health zone (52) was supported ro deliver CeMONC services </t>
  </si>
  <si>
    <t>Number of people accessing drinking water defined through final KAP survey in villages supported by ASSP</t>
  </si>
  <si>
    <t>Population reached with access to safe water as calculated through KAP survey. 
SEE ADDITIONAL TAB FOR MORE DETAILED DATA ON CALCULATION</t>
  </si>
  <si>
    <t xml:space="preserve">DRC national Ecole et Village Assainis DHIS 2 database </t>
  </si>
  <si>
    <t>Communities in the process</t>
  </si>
  <si>
    <t>This indicator is cumulative</t>
  </si>
  <si>
    <t>Number of people accessing and use adequate sanitation defined through final KAP survey in villages supported by ASSP</t>
  </si>
  <si>
    <t xml:space="preserve">Population reached with access to and who use adequte sanitation as calculated through KAP survey.
SEE ADDITIONAL TAB FOR MORE DETAILED DATA ON CALCULATION </t>
  </si>
  <si>
    <t>DRC national Ecole et Village Assainis DHIS 2 database</t>
  </si>
  <si>
    <r>
      <t>Output/</t>
    </r>
    <r>
      <rPr>
        <b/>
        <sz val="10"/>
        <rFont val="Times New Roman"/>
        <family val="1"/>
      </rPr>
      <t xml:space="preserve">Pillar </t>
    </r>
    <r>
      <rPr>
        <b/>
        <sz val="10"/>
        <color rgb="FF000000"/>
        <rFont val="Times New Roman"/>
        <family val="1"/>
      </rPr>
      <t xml:space="preserve">2- Human Resources: </t>
    </r>
    <r>
      <rPr>
        <sz val="10"/>
        <color rgb="FF000000"/>
        <rFont val="Times New Roman"/>
        <family val="1"/>
      </rPr>
      <t>Improved and sustained Human Resources to support enhanced health service delivery.</t>
    </r>
  </si>
  <si>
    <t xml:space="preserve">DPS and Intrahealth
</t>
  </si>
  <si>
    <t>Health facilities and Health Zone office</t>
  </si>
  <si>
    <t>ASSP supports both the collection of data to feed into the HR annuaire and the production of the HR annuaire itself</t>
  </si>
  <si>
    <t>Average number of health facilities who have a DHIS2 report uploaded each month</t>
  </si>
  <si>
    <t>Total number of monthly DHIS2 reports per quarter or year</t>
  </si>
  <si>
    <t>divide by 3 per quarter or 12 per year</t>
  </si>
  <si>
    <t>This is also calculated as a percentage (using the number of health facilities  - NOTE this number does have variation due to system management outside the control of the project).  Calculating as an average using this methodolgy is possible because the indicator has reached over 90% achievement of  compliance.</t>
  </si>
  <si>
    <t>Number of Health Zones with at least a 80% score generated automatically using a weighted scheme that includes timeliness, promptness and exhaustivity of reports submitted by health facilties.</t>
  </si>
  <si>
    <t>SEE SEPARATE TAB FOR EXPLANATION OF WEIGHTING SYSTEM 
This number is also calculated as a percentage based on the number of health zones</t>
  </si>
  <si>
    <r>
      <t>Output</t>
    </r>
    <r>
      <rPr>
        <b/>
        <sz val="10"/>
        <rFont val="Times New Roman"/>
        <family val="1"/>
      </rPr>
      <t xml:space="preserve">/Pillar </t>
    </r>
    <r>
      <rPr>
        <b/>
        <sz val="10"/>
        <color rgb="FF000000"/>
        <rFont val="Times New Roman"/>
        <family val="1"/>
      </rPr>
      <t xml:space="preserve">4- Leadership &amp; Governance:  </t>
    </r>
    <r>
      <rPr>
        <sz val="10"/>
        <rFont val="Times New Roman"/>
        <family val="1"/>
      </rPr>
      <t xml:space="preserve">Increased Leadership and Governance, including empowerment and accountability, in health service planning and delivery </t>
    </r>
  </si>
  <si>
    <t>Number of  assisted health areas in which a community score card has been completed in the life of the programme</t>
  </si>
  <si>
    <t>This indicator is cumulative.  This is also calculated as a percentage baed on the number of health areas.</t>
  </si>
  <si>
    <t>Average number of health araes whose CODESAs submit report  each month</t>
  </si>
  <si>
    <t>Total number of monthly codesa reports per quarter or year</t>
  </si>
  <si>
    <t>This is also calculated as a percentage (using the number of health areas).  Calculating as an average using this methodolgy if possible because the indicator has reached over 90% achievementof meeting compliance.</t>
  </si>
  <si>
    <t>Number of villages following the process step by step and that are certified sanitized at the end of the process</t>
  </si>
  <si>
    <t>Number of villages certified (that have completed the VEA program and proclaimed "Certified"by the health zone)</t>
  </si>
  <si>
    <t>DRC national Ecole et Village Assainis DHIS 2 database / KAP surveys</t>
  </si>
  <si>
    <t xml:space="preserve">This indicator is cumulative. Disaggregated in VA Phase 2 and Hybrid 2 </t>
  </si>
  <si>
    <r>
      <t>Output/</t>
    </r>
    <r>
      <rPr>
        <b/>
        <sz val="10"/>
        <rFont val="Times New Roman"/>
        <family val="1"/>
      </rPr>
      <t xml:space="preserve">Pillar </t>
    </r>
    <r>
      <rPr>
        <b/>
        <sz val="10"/>
        <color rgb="FF000000"/>
        <rFont val="Times New Roman"/>
        <family val="1"/>
      </rPr>
      <t>5- Medicines &amp; Technology:</t>
    </r>
    <r>
      <rPr>
        <sz val="10"/>
        <color rgb="FF000000"/>
        <rFont val="Times New Roman"/>
        <family val="1"/>
      </rPr>
      <t xml:space="preserve"> Enhanced and appropriate use of Medicines and Technologies to support health service delivery. </t>
    </r>
  </si>
  <si>
    <t>Number of health facilities targeted for a new construction or rehabilitation</t>
  </si>
  <si>
    <r>
      <rPr>
        <b/>
        <u/>
        <sz val="9"/>
        <rFont val="Arial"/>
        <family val="2"/>
      </rPr>
      <t xml:space="preserve">Sum of </t>
    </r>
    <r>
      <rPr>
        <sz val="9"/>
        <rFont val="Arial"/>
        <family val="2"/>
      </rPr>
      <t xml:space="preserve">: Number of health facilities rehabilitated + Number of health facilities constructed by ASSP </t>
    </r>
  </si>
  <si>
    <t xml:space="preserve">IMA World Health </t>
  </si>
  <si>
    <t>Health Facilities, DPS, IP</t>
  </si>
  <si>
    <t>This indicator is cumulative. Disaggregated in HF rehabilitated and HR constructed</t>
  </si>
  <si>
    <t>Number of health facilities equipped with a solar refrigerator or freezer</t>
  </si>
  <si>
    <t>Number of health facility equipped with a solar lighting system</t>
  </si>
  <si>
    <t>Percentage of days that health facilities report stock-outs of the following 5 tracer drugs: Depo Provera, Oxytocin, SP, Zinc, Amoxicillin (any form)</t>
  </si>
  <si>
    <t>Total Number of days of stockouts recorded for the project's five tracers drugs during specified time period (quarterly or yearly) in every supported health facility.</t>
  </si>
  <si>
    <t>Total Number of days that the project tracers drugs should be available during the specified time period in every supported health facility.</t>
  </si>
  <si>
    <t>Tracer drugs are a sample of drugs chosen to measure levels of stockouts.  The drugs chosen are commonly used for different areas of high priority clinical practice</t>
  </si>
  <si>
    <t>DHIS 2 Data quality score appraisal scheme</t>
  </si>
  <si>
    <t>Descprition</t>
  </si>
  <si>
    <t xml:space="preserve">Validation Rules </t>
  </si>
  <si>
    <t>Internal Completeness</t>
  </si>
  <si>
    <t xml:space="preserve">Outlier Data </t>
  </si>
  <si>
    <t xml:space="preserve">Comments </t>
  </si>
  <si>
    <t xml:space="preserve">weighted score </t>
  </si>
  <si>
    <t xml:space="preserve">0.3 * raw score </t>
  </si>
  <si>
    <t>0.6 * raw score</t>
  </si>
  <si>
    <t>0.1*raw score</t>
  </si>
  <si>
    <t>weights</t>
  </si>
  <si>
    <t xml:space="preserve">raw score </t>
  </si>
  <si>
    <t>((25*Number of health facilities)-</t>
  </si>
  <si>
    <t>Number of compulsory data elements reported</t>
  </si>
  <si>
    <t>((11*Number of health facilities) - (Number of data elements flagged as outliers))</t>
  </si>
  <si>
    <t>(Number of validation rules broken ))</t>
  </si>
  <si>
    <t>÷</t>
  </si>
  <si>
    <t xml:space="preserve">(12*Number of health facilities) </t>
  </si>
  <si>
    <t xml:space="preserve">(11*Number of health facilities) </t>
  </si>
  <si>
    <t>(25*Number of health facilities)</t>
  </si>
  <si>
    <t xml:space="preserve">Comment </t>
  </si>
  <si>
    <t>We assess 25 validation rules for each report</t>
  </si>
  <si>
    <t>There are 12 compulsory data elements on each form</t>
  </si>
  <si>
    <t>We assess 11 data elements for outlier values</t>
  </si>
  <si>
    <t xml:space="preserve">Final data quality score </t>
  </si>
  <si>
    <t xml:space="preserve">weighted score for validation rules + weighted score for internal completeness + weighted score for outlier data -19 </t>
  </si>
  <si>
    <t xml:space="preserve">The ''-19" is applied for calibration </t>
  </si>
  <si>
    <t>Calculation of output 1.6  cumulative number of people provided with access to safe water and sanitation</t>
  </si>
  <si>
    <t>Access to safe drinking water is determined by calculating the number of people with access to safe drinking water in all certified villages.  This is estimated through Knowledge, Attitudes and Practice surveys[1].</t>
  </si>
  <si>
    <t>The average proportion of the population with access to safe drinking water in villages where the surveys were conducted can then be calculated by:</t>
  </si>
  <si>
    <t xml:space="preserve">1) taking the population estimate of people living in the  villages where Knowledge, Attitudes and Practice surveys have been conducted  </t>
  </si>
  <si>
    <r>
      <rPr>
        <sz val="10"/>
        <rFont val="Times New Roman"/>
        <family val="1"/>
      </rPr>
      <t xml:space="preserve"> 2) </t>
    </r>
    <r>
      <rPr>
        <sz val="10"/>
        <rFont val="Arial"/>
        <family val="2"/>
      </rPr>
      <t xml:space="preserve">calculating the average % population coverage = (estimated population who have access to safe drinking water in all villages from KAP survey x population estimate of of people living in villages where KAP study has been conducted ) x100 </t>
    </r>
  </si>
  <si>
    <t xml:space="preserve">if you then apply the same percentage to the population estimate of people  living in communities that are already using a water point built by the project before a Knowledge, Attitudes and Practice survey is organised - this provides an additional estimated population with access to safe drinking water. [This is not the measure used to measure performance against milestones - rather it is an estimate of additional numbers of people who have should have access while awaiting a KAP study] </t>
  </si>
  <si>
    <t>[1] Calculating the population covered by safe drinking water is done by: a) Conducting a Knowledge, Attitudes and Practice survey in a set number of households (to determine their access to safe drinking water) within each village. b) Extrapolate the results of these households to provide an estimated population who have access to safe drinking water in each village. C) Add together the numbers of people from each village estimated to have access to safe drinking water.</t>
  </si>
  <si>
    <t xml:space="preserve">Calculation of output 1.7 cumulative number of people provided with access to and who use adequate sanitation </t>
  </si>
  <si>
    <t>The same methodology above is conducted to calculate access to adequate sanitation</t>
  </si>
  <si>
    <t>Number and percentage of births attended at a health facility(KPI)</t>
  </si>
  <si>
    <t>Number of pregnant women who gave birth in a health facility during the period</t>
  </si>
  <si>
    <t>Number of expected deliveries performed in a health facility</t>
  </si>
  <si>
    <t>Number of health zones of health zones with a quarterly data quality score of at least data quality score at the DRC national DHIS database</t>
  </si>
  <si>
    <t>divide by 1 per quarter or 4 per year</t>
  </si>
  <si>
    <t>Amendments to Indicator 2019</t>
  </si>
  <si>
    <t>Original milestone year 6</t>
  </si>
  <si>
    <t>Revised  milestone year 6</t>
  </si>
  <si>
    <t>Revised target 2019</t>
  </si>
  <si>
    <t>Comments 2019</t>
  </si>
  <si>
    <t>This is the first iteration of year 6 targets. WASH activities were not to be carried out in year 6 but certain villages close to the final certification step asked to continue the Village Assaini process to completion. Year 6 milestones for WASH indicators are based on the expected benefciaries in the few villages that asked to complete the certification process because they were close to the final step</t>
  </si>
  <si>
    <t>This is the first iteration of year 6 targets. WASH activities were not to be carried out in year 6 but certain villages close to the final certification step asked to continue the Village Assaini process to completion. Year 6 milestones for WASH indicators are based on the few villages that asked to complete the certification process because they were close to the final step</t>
  </si>
  <si>
    <t>This is the first iteration of year 6 targets. The project expects to support the production of 1 Annuaire per province</t>
  </si>
  <si>
    <t xml:space="preserve">This is the first iteration of year 6 targets. Construction activities were not to be carried out in year 6 but the work on certain facilities was so close to completion, it was decided that the work be completed in year 6. Year 6 milestone for this indicator is based on the number of health facilities either being constructed or rehabilitated that are 95% completed.  </t>
  </si>
  <si>
    <t xml:space="preserve">This is the first iteration of year 6 targets. This activity has been discontinued in year 6 and the target has been set to the achievement of year 5. </t>
  </si>
  <si>
    <t xml:space="preserve">This is the first iteration of year 6 targets. By the end of Q3 of Year 6, the project had installed solar lightin in 612 facilities and may install solar lighting in 4 more health facilities in Q4. </t>
  </si>
  <si>
    <t>indicator has been changed to reflect that we are measuring the number of units installed and not necessarily the number of functional units</t>
  </si>
  <si>
    <t>This is the first iteration of year 6 targets and not a revision to year 6 targets. Please refer to sheets "Logframe",  "Target Group Population" and "Target Group Coverage" for assumptions used to calculate targets</t>
  </si>
  <si>
    <t>This is the first iteration of year 6 targets and not a revision to year 6 targets. Please refer to sheets "Logframe",  "Organisation Units" and "Target Group Coverage" for assumptions used to calculate targets</t>
  </si>
  <si>
    <t>March 2019 Logframe Revision - Year 6 targets</t>
  </si>
  <si>
    <t>2019 Indicator title</t>
  </si>
  <si>
    <t>Number and percentage of births attended at a health facility (KPI)</t>
  </si>
  <si>
    <t>Changed from cumulative to average. Operational is defined as submitting a monthly report</t>
  </si>
  <si>
    <t>IMA World Health, DRC assisted provinces health department, DHIS2</t>
  </si>
  <si>
    <t>This is the first iteration of year 6 targets. The proposed target is based on previous annual performance and performance in Q1 and Q2 of year 6 and expected stock-outs during year 6</t>
  </si>
  <si>
    <t>Verification survey.</t>
  </si>
  <si>
    <t xml:space="preserve">We have a good sense of both financial and logistical challenges conducting surveys in sites selected randomly and often in hard to reach areas particularly during the rainy season. This also take in account that enumerators need enough time to collect all the data needed as communication is very limited in most sites making any contact for additional information after teams have left the sites very difficult. </t>
  </si>
  <si>
    <t xml:space="preserve">For the aforementioned reasons and given the limited time remaining and budget cut, we are planning  to conduct a small survey in 19out of 52 hospitals (37%) and 57 out of 208 (27%) health centers all randomly selected to verify health facilities readiness to offer EMNOC services. </t>
  </si>
  <si>
    <t xml:space="preserve">This is a two stages random selection process with 19 HZs first selected out of the 52 HZs (37%) taking in account each province weight in terms of number of assisted HZs. At the second iteration, three health facilities out four targeted (75%) are randomly for BEMNOC evaluation in every health zone selected. CEMNOC evaluation will be conducted in hospitals located in the 19 HZs randomly selected. </t>
  </si>
  <si>
    <t xml:space="preserve">The number 19 used as basis for selection is borrowed from the LQAS method taking the 52 HZs a group receiving the same intervention (trainings, drugs, equipment and follow-ups) though some variances can be observed between implementing partners and support received from PHD.  </t>
  </si>
  <si>
    <t>The methodology and the sample size for this survey are chosen to provide a valid picture of the situation in targeted health facilities by allowing the fieldwork to be carried out quickly so the outcomes can be communicated on a reasonable time.</t>
  </si>
  <si>
    <t>Information collection and calculation</t>
  </si>
  <si>
    <t>Health Facilities (HFs) surveyed that have :</t>
  </si>
  <si>
    <t xml:space="preserve">(a) Number of B-EmONC HFs </t>
  </si>
  <si>
    <t>(b) Number of C-EmONC  HFs</t>
  </si>
  <si>
    <t>1)</t>
  </si>
  <si>
    <t>At least one staff trained on EmONC*</t>
  </si>
  <si>
    <t>2)</t>
  </si>
  <si>
    <t>&lt;10% of days of stock-out of parenteral Ampicillin **</t>
  </si>
  <si>
    <t>3)</t>
  </si>
  <si>
    <t>&lt;10% of days of stock-out of oxytocin **</t>
  </si>
  <si>
    <t>4)</t>
  </si>
  <si>
    <t>&lt;10% of days of stock-out of magnesium sulfate for preeclampsia and eclampsia **</t>
  </si>
  <si>
    <t>5)</t>
  </si>
  <si>
    <t>&lt;10% of days of stock-out of Sterile gloves for manual removal of placenta**</t>
  </si>
  <si>
    <t>6)</t>
  </si>
  <si>
    <t>Operational equipment for manual vacuum extraction or dilation and curettage to remove retained products</t>
  </si>
  <si>
    <t>7)</t>
  </si>
  <si>
    <t>Operational Vacuum or Forceps for assisted vaginal delivery</t>
  </si>
  <si>
    <t>8)</t>
  </si>
  <si>
    <t>Operational Ambu bag + mask for basic neonatal resuscitation</t>
  </si>
  <si>
    <t>9)</t>
  </si>
  <si>
    <t>At least one surgical instruments box for caesarean section</t>
  </si>
  <si>
    <t>10)</t>
  </si>
  <si>
    <t>&lt;10% of days of stock-out of lidocaine 5% for spinal anesthesia **</t>
  </si>
  <si>
    <t>11)</t>
  </si>
  <si>
    <t>&lt;10% of days of stock-out of blood bags **</t>
  </si>
  <si>
    <t>12)</t>
  </si>
  <si>
    <t>&lt;10% of days of stock-out of required blood safety tests **</t>
  </si>
  <si>
    <t>TOTAL NUMBER</t>
  </si>
  <si>
    <t>(a) = The smallest number from 1-8</t>
  </si>
  <si>
    <t>(b) = The smallest number from 1-12</t>
  </si>
  <si>
    <t>TOTAL PERCENT</t>
  </si>
  <si>
    <t>(a) / Total number of B-EmONC HFs surveyed</t>
  </si>
  <si>
    <t>(b) / Total number of C-EmONC HFs surveyed</t>
  </si>
  <si>
    <t>ANNUAL ACHIEVEMENT</t>
  </si>
  <si>
    <t>Total percent of (a) * ASSP target for (a)</t>
  </si>
  <si>
    <t>Total percent of (b) * ASSP target for (b)</t>
  </si>
  <si>
    <t xml:space="preserve">* Staff trained on basic EmONC for health centers, and on comprehensive EmONC for general referral hospitals </t>
  </si>
  <si>
    <t>**Stock-out days are calcuated over a period of 3 months</t>
  </si>
  <si>
    <t>Planned (U5)</t>
  </si>
  <si>
    <t>Planned (Pregnant women)</t>
  </si>
  <si>
    <t>Sud - Kivu</t>
  </si>
  <si>
    <t>MINEMBWE - Withdrew end Dec 2015 (therefore halved in Y3)</t>
  </si>
  <si>
    <t>ITOMBWE - Withdrew end Dec 2015 (therefore halved in Y3)</t>
  </si>
  <si>
    <t>KABARE - Withdrew end March 2015</t>
  </si>
  <si>
    <t>KALEHE - Withdrew end March 2015</t>
  </si>
  <si>
    <t>CHILDREN UNDER 1 (Malaria Health Zones only)</t>
  </si>
  <si>
    <t>Pregnant women (Malaria Health Zones only)</t>
  </si>
  <si>
    <t>Provinces</t>
  </si>
  <si>
    <t>FY6</t>
  </si>
  <si>
    <t>FY1 - 5</t>
  </si>
  <si>
    <t>HEALTH AREAS</t>
  </si>
  <si>
    <t>HEALTH ZONES</t>
  </si>
  <si>
    <t>FY1-5</t>
  </si>
  <si>
    <t>This is the first iteration of year 6 targets and not a revision to year 6 targets. During year 5, we achieved a coverage of 1.80% of the target population. Applying that 1.80% reach to year 6 population gives 852 survivors. However, after considering performance in the first three quarters of year 6, it was decided that the project could reach more survivors and so the target is set at 862 survivors.</t>
  </si>
  <si>
    <t>Impact Indicator 1 : Infant mortality rate (IMR) (deaths per 1000 live births) in DFID-supported health zones</t>
  </si>
  <si>
    <t>Impact Indicator 2 : Proportion of children under five with moderate or severe stunting</t>
  </si>
  <si>
    <t xml:space="preserve">Output 1.2 - Number of children and pregnant women reached with nutritional interventions - five home visits for children and three doses of iron and folate for pregnant women </t>
  </si>
  <si>
    <t xml:space="preserve">Output 1.3 - Number and percentage of pregnant women and children under one year provided with a long-lasting insecticide-treated bednets (LLINs) </t>
  </si>
  <si>
    <t>Output 1.4 - Number of new acceptors of modern methods of family planning (KPI)</t>
  </si>
  <si>
    <t>Output 1.5 - Number of health facilities able to offer basic or comprehensive emergency obsteric and neonatal care</t>
  </si>
  <si>
    <t xml:space="preserve">Output 1.6 - Cumulative number of people provided with access to safe drinking water (KPI) </t>
  </si>
  <si>
    <t>Output 1.7 - Cumulative number of people provided with access to and who use adequate sanitation</t>
  </si>
  <si>
    <t>Output 2.1 - Number  of assisted provincial health departments (PHD) using human resources statistics from iHRIS to develop HR Annuaire (human resources planning document) each year</t>
  </si>
  <si>
    <t>Output 3.1 - Average number of health facilities (hospitals, health centres and health posts) whose SNIS reports are captured using DHIS2</t>
  </si>
  <si>
    <t>Output 4.1 - Cummulative number of assisted health centers with at least one community score card exercise completed during the course of the project (e.g.community satisfaction &amp; health services fees)</t>
  </si>
  <si>
    <t>Output 4.3 - Cumulative number of villages which have completed the Village Assaini process in targeted HZs</t>
  </si>
  <si>
    <t>Output 5.1 - Cumulative number of health facilities that have been rehabilitated or constructed</t>
  </si>
  <si>
    <t xml:space="preserve">Output 5.4 - Percentage of days that health facilities report stock-outs of the following 5 tracer drugs : Depo Provera, Oxytocin, SP, Zinc, Amoxicillin (any form) </t>
  </si>
  <si>
    <t>Outcome Indicator 2: Number of Couple Years of Protection achieved through family planning service provision</t>
  </si>
  <si>
    <t>Outcome Indicator 3: Number and % percentage of births attended at a HF (KPI)</t>
  </si>
  <si>
    <t>Outcome Indicator 4: Number of sexual and gender-based violence (SGBV) survivors who have received PEP kits from an integrated health facility within 72 hours</t>
  </si>
  <si>
    <t>Outcome Indicator 5: Number and % of 1 year old children vaccinated against measles (KPI)</t>
  </si>
  <si>
    <t>Output 1.1 - Number and Percentage of pregnant women provided with two doses of intermittent presumptive treatment for malaria (IPTp) - (KPI)</t>
  </si>
  <si>
    <t>Output 3.2 - Average number of health zones with a score of 80% or more on the national data quality reporting appraisal scheme</t>
  </si>
  <si>
    <t>Output 4.2 - Average Number CODESAs that are operational</t>
  </si>
  <si>
    <t>Output 5.2 - Cumulative number of health facilities in which solar cold chain for vaccines, drugs and blood was installed by the project</t>
  </si>
  <si>
    <t>Output 5.3 - Cumulative number of health facilities in which  solar lighting was installed by the project</t>
  </si>
  <si>
    <t xml:space="preserve">Outcome Indicator 6: Annual health service utilisation (number and rate per capita)  for curative consultations </t>
  </si>
  <si>
    <r>
      <t>Output/</t>
    </r>
    <r>
      <rPr>
        <b/>
        <sz val="10"/>
        <rFont val="Times New Roman"/>
        <family val="1"/>
      </rPr>
      <t xml:space="preserve">Pillar </t>
    </r>
    <r>
      <rPr>
        <b/>
        <sz val="10"/>
        <color rgb="FF000000"/>
        <rFont val="Times New Roman"/>
        <family val="1"/>
      </rPr>
      <t xml:space="preserve">3- Information Systems: </t>
    </r>
    <r>
      <rPr>
        <sz val="10"/>
        <color rgb="FF000000"/>
        <rFont val="Times New Roman"/>
        <family val="1"/>
      </rPr>
      <t>Appropriate &amp; enhanced use of Information Systems to support decision-making to improve health services (Note: Output 2.1 would also be applicable to this pillar)</t>
    </r>
  </si>
  <si>
    <t>FY1*</t>
  </si>
  <si>
    <t xml:space="preserve">General Note: </t>
  </si>
  <si>
    <r>
      <rPr>
        <sz val="11"/>
        <color theme="1"/>
        <rFont val="Calibri"/>
        <family val="2"/>
        <scheme val="minor"/>
      </rPr>
      <t>The basic formula for service delivery targets is</t>
    </r>
    <r>
      <rPr>
        <b/>
        <sz val="11"/>
        <color theme="1"/>
        <rFont val="Calibri"/>
        <family val="2"/>
        <scheme val="minor"/>
      </rPr>
      <t xml:space="preserve"> </t>
    </r>
    <r>
      <rPr>
        <i/>
        <sz val="11"/>
        <color theme="1"/>
        <rFont val="Calibri"/>
        <family val="2"/>
        <scheme val="minor"/>
      </rPr>
      <t xml:space="preserve">Population Size of Target Group×Target Coverage. </t>
    </r>
    <r>
      <rPr>
        <sz val="11"/>
        <color theme="1"/>
        <rFont val="Calibri"/>
        <family val="2"/>
        <scheme val="minor"/>
      </rPr>
      <t xml:space="preserve">The target coverages are listed in this sheet. Cells highlighted in yellow represent instances in which 
(i) the target coverage information is missing OR
(ii) the formula was not yet being used to set targets for the indicator OR
(iii) the project had to deviate from the basic formula for programmatic reasons.  
Please refer to previous logframes for explanations of why the project  may have deviated from the basic formula. </t>
    </r>
  </si>
  <si>
    <t>see log of changes</t>
  </si>
  <si>
    <t>60 was the original milestone for year 5</t>
  </si>
  <si>
    <t>see comments</t>
  </si>
  <si>
    <t>10% was the original milestone for year 5</t>
  </si>
  <si>
    <t>34.3% was the original milestone for year 5</t>
  </si>
  <si>
    <t xml:space="preserve">This is the first iteration of year 6 targets and not a revision to year 6 targets. Please refer to sheet "CYP target calculations to see how this target was calculated and recognised limitations of this calculation approach </t>
  </si>
  <si>
    <t>This is the first iteration of year 6 targets and not a revision to year 6 targets. Please refer to sheets "Logframe",  "Target Group Population" and "Target Group Coverage" for assumptions used to calculate targets.  Please also refer to the "CYP target calculations" tab for comments on the recognised limitations of this taget setting</t>
  </si>
  <si>
    <t>The baseline evaluation was conducted in all provinces of the programme.  Due to violence and insecurity in the Kasai's it was not possible to collect endine data in two of the 5 provinces.  Results have therefore been represented just comparing baseline and endline results in Maniema, Tshopo and Nord Ubangi. Targets for these provinces alone were not set.  Further information can be found in the impact evaluation under final review before publication</t>
  </si>
  <si>
    <t>Comments on limitations of methodology</t>
  </si>
  <si>
    <r>
      <t>1.</t>
    </r>
    <r>
      <rPr>
        <sz val="7"/>
        <color theme="1"/>
        <rFont val="Times New Roman"/>
        <family val="1"/>
      </rPr>
      <t xml:space="preserve">          </t>
    </r>
    <r>
      <rPr>
        <sz val="11"/>
        <color theme="1"/>
        <rFont val="Calibri"/>
        <family val="2"/>
        <scheme val="minor"/>
      </rPr>
      <t>We know that the number of new acceptors cannot be being achieved at the level reported, as this would mean the contraceptive prevalence rate measured in the impact evaluation would be significantly higher.  We believe that in reporting (and despite training) providers are frequently confusing new and existing acceptors to explain this disconnect.  Targets for this indicator however continue to be set in line with increasing expectations of reported uptake.</t>
    </r>
  </si>
  <si>
    <r>
      <t>2.</t>
    </r>
    <r>
      <rPr>
        <sz val="7"/>
        <color theme="1"/>
        <rFont val="Times New Roman"/>
        <family val="1"/>
      </rPr>
      <t xml:space="preserve">          </t>
    </r>
    <r>
      <rPr>
        <sz val="11"/>
        <color theme="1"/>
        <rFont val="Calibri"/>
        <family val="2"/>
        <scheme val="minor"/>
      </rPr>
      <t>The method used to predict the number of CYPs is then based on multiplying the expected number of new acceptors by the CYPs that the programme predicted would be achieved using different family planning methodologies.  There are three issues with this:</t>
    </r>
  </si>
  <si>
    <t>a. We know that the predicted number of new acceptors cannot be correct (as per point 1).</t>
  </si>
  <si>
    <t>b. CYP calculation should take account of both new acceptors and existing users.</t>
  </si>
  <si>
    <t xml:space="preserve">c. The predicted proportion of different methods of family planning utilised for calculations has turned out to be very different to what is delivered in reality. </t>
  </si>
  <si>
    <r>
      <t>3.</t>
    </r>
    <r>
      <rPr>
        <sz val="7"/>
        <color theme="1"/>
        <rFont val="Times New Roman"/>
        <family val="1"/>
      </rPr>
      <t xml:space="preserve">          </t>
    </r>
    <r>
      <rPr>
        <sz val="11"/>
        <color theme="1"/>
        <rFont val="Calibri"/>
        <family val="2"/>
        <scheme val="minor"/>
      </rPr>
      <t xml:space="preserve">A pragmatic decision has been made to keep the methodology (although flawed) for this logframe revision to provide consistency with previous years of the programme. If we were to set targets based on previous </t>
    </r>
    <r>
      <rPr>
        <u/>
        <sz val="11"/>
        <color theme="1"/>
        <rFont val="Calibri"/>
        <family val="2"/>
        <scheme val="minor"/>
      </rPr>
      <t>achievements</t>
    </r>
    <r>
      <rPr>
        <sz val="11"/>
        <color theme="1"/>
        <rFont val="Calibri"/>
        <family val="2"/>
        <scheme val="minor"/>
      </rPr>
      <t xml:space="preserve"> (actual measurement of CYP results is considered much more reliable) the targets set using this methodology would still be appropriate. In future programming this methodology will be fully reviewed.</t>
    </r>
  </si>
  <si>
    <t>TABS</t>
  </si>
  <si>
    <t>A</t>
  </si>
  <si>
    <t>B</t>
  </si>
  <si>
    <t>C</t>
  </si>
  <si>
    <t>D</t>
  </si>
  <si>
    <t>E</t>
  </si>
  <si>
    <t>F</t>
  </si>
  <si>
    <t>G</t>
  </si>
  <si>
    <t>H</t>
  </si>
  <si>
    <t>I</t>
  </si>
  <si>
    <t>J</t>
  </si>
  <si>
    <t>K</t>
  </si>
  <si>
    <t>DESCRIPTION</t>
  </si>
  <si>
    <t>UPDATED</t>
  </si>
  <si>
    <t>Programme Logframe</t>
  </si>
  <si>
    <t>Log of Changes</t>
  </si>
  <si>
    <t>Indicator Dictionary</t>
  </si>
  <si>
    <t>EMONC Calculations</t>
  </si>
  <si>
    <t>DHIS2 Data Quality Score</t>
  </si>
  <si>
    <t>WASH Calculations</t>
  </si>
  <si>
    <t>Organisational Units</t>
  </si>
  <si>
    <t>Population Data</t>
  </si>
  <si>
    <t>Target Group Populations</t>
  </si>
  <si>
    <t>Target Group Coverage</t>
  </si>
  <si>
    <t>Couple Year Protection (CYP) Calculations</t>
  </si>
  <si>
    <t>It was recognised early on in the programme that that  a much larger sample size would be needed to power the study to detect statistical differences in the impacts of the project on IMR. Other important indicators on child health such as prevalence of diarrhea, malaria and ARI  can be found in the impact evaluation under final review before publication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</si>
</sst>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3" formatCode="_-* #,##0.00_-;\-* #,##0.00_-;_-* &quot;-&quot;??_-;_-@_-"/>
    <numFmt numFmtId="164" formatCode="_(&quot;$&quot;* #,##0.00_);_(&quot;$&quot;* \(#,##0.00\);_(&quot;$&quot;* &quot;-&quot;??_);_(@_)"/>
    <numFmt numFmtId="165" formatCode="_(* #,##0.00_);_(* \(#,##0.00\);_(* &quot;-&quot;??_);_(@_)"/>
    <numFmt numFmtId="166" formatCode="0.0%"/>
    <numFmt numFmtId="167" formatCode="_(* #,##0_);_(* \(#,##0\);_(* &quot;-&quot;??_);_(@_)"/>
    <numFmt numFmtId="168" formatCode="_(* #,##0.00000_);_(* \(#,##0.00000\);_(* &quot;-&quot;??_);_(@_)"/>
    <numFmt numFmtId="169" formatCode="_-* #,##0_-;\-* #,##0_-;_-* &quot;-&quot;??_-;_-@_-"/>
    <numFmt numFmtId="170" formatCode="_-[$£-809]* #,##0_-;\-[$£-809]* #,##0_-;_-[$£-809]* &quot;-&quot;??_-;_-@_-"/>
    <numFmt numFmtId="171" formatCode="0.0"/>
    <numFmt numFmtId="172" formatCode="0.000"/>
    <numFmt numFmtId="173" formatCode="0.0000"/>
    <numFmt numFmtId="174" formatCode="#,##0\ &quot;€&quot;;[Red]\-#,##0\ &quot;€&quot;"/>
    <numFmt numFmtId="175" formatCode="_-* #,##0.00\ _€_-;\-* #,##0.00\ _€_-;_-* &quot;-&quot;??\ _€_-;_-@_-"/>
    <numFmt numFmtId="176" formatCode="_ * #,##0.00_ ;_ * \-#,##0.00_ ;_ * &quot;-&quot;??_ ;_ @_ "/>
    <numFmt numFmtId="177" formatCode="General&quot; D=7&quot;\ "/>
    <numFmt numFmtId="178" formatCode="[$£-809]#,##0"/>
  </numFmts>
  <fonts count="70" x14ac:knownFonts="1">
    <font>
      <sz val="11"/>
      <color theme="1"/>
      <name val="Calibri"/>
      <family val="2"/>
      <scheme val="minor"/>
    </font>
    <font>
      <sz val="10"/>
      <name val="Arial"/>
      <family val="2"/>
    </font>
    <font>
      <b/>
      <sz val="14"/>
      <name val="Arial"/>
      <family val="2"/>
    </font>
    <font>
      <b/>
      <sz val="14"/>
      <name val="Calibri"/>
      <family val="2"/>
    </font>
    <font>
      <sz val="9"/>
      <name val="Arial"/>
      <family val="2"/>
    </font>
    <font>
      <b/>
      <sz val="9"/>
      <name val="Arial"/>
      <family val="2"/>
    </font>
    <font>
      <sz val="9"/>
      <name val="Calibri"/>
      <family val="2"/>
    </font>
    <font>
      <b/>
      <sz val="9"/>
      <color indexed="81"/>
      <name val="Tahoma"/>
      <family val="2"/>
    </font>
    <font>
      <sz val="9"/>
      <color indexed="81"/>
      <name val="Tahoma"/>
      <family val="2"/>
    </font>
    <font>
      <b/>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i/>
      <sz val="10"/>
      <color theme="1"/>
      <name val="Calibri"/>
      <family val="2"/>
      <scheme val="minor"/>
    </font>
    <font>
      <sz val="10"/>
      <color rgb="FFFF0000"/>
      <name val="Calibri"/>
      <family val="2"/>
      <scheme val="minor"/>
    </font>
    <font>
      <sz val="10"/>
      <color theme="3" tint="0.39997558519241921"/>
      <name val="Calibri"/>
      <family val="2"/>
      <scheme val="minor"/>
    </font>
    <font>
      <b/>
      <sz val="10"/>
      <color rgb="FFFF0000"/>
      <name val="Calibri"/>
      <family val="2"/>
      <scheme val="minor"/>
    </font>
    <font>
      <u/>
      <sz val="10"/>
      <color theme="1"/>
      <name val="Calibri"/>
      <family val="2"/>
      <scheme val="minor"/>
    </font>
    <font>
      <b/>
      <i/>
      <sz val="8"/>
      <name val="Arial"/>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63"/>
      <name val="Calibri"/>
      <family val="2"/>
    </font>
    <font>
      <b/>
      <sz val="18"/>
      <color indexed="62"/>
      <name val="Cambri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9"/>
      <color theme="1"/>
      <name val="Arial"/>
      <family val="2"/>
    </font>
    <font>
      <b/>
      <sz val="10"/>
      <name val="Arial"/>
      <family val="2"/>
    </font>
    <font>
      <sz val="10"/>
      <name val="Calibri"/>
      <family val="2"/>
    </font>
    <font>
      <sz val="10"/>
      <name val="Times New Roman"/>
      <family val="1"/>
    </font>
    <font>
      <b/>
      <sz val="10"/>
      <name val="Times New Roman"/>
      <family val="1"/>
    </font>
    <font>
      <sz val="10"/>
      <color rgb="FF000000"/>
      <name val="Times New Roman"/>
      <family val="1"/>
    </font>
    <font>
      <b/>
      <sz val="10"/>
      <color rgb="FF000000"/>
      <name val="Times New Roman"/>
      <family val="1"/>
    </font>
    <font>
      <b/>
      <u/>
      <sz val="10"/>
      <color rgb="FF000000"/>
      <name val="Times New Roman"/>
      <family val="1"/>
    </font>
    <font>
      <b/>
      <sz val="16"/>
      <color rgb="FF000000"/>
      <name val="Times New Roman"/>
      <family val="1"/>
    </font>
    <font>
      <b/>
      <sz val="9"/>
      <name val="Times New Roman"/>
      <family val="1"/>
    </font>
    <font>
      <b/>
      <u/>
      <sz val="9"/>
      <name val="Times New Roman"/>
      <family val="1"/>
    </font>
    <font>
      <b/>
      <u/>
      <sz val="9"/>
      <name val="Arial"/>
      <family val="2"/>
    </font>
    <font>
      <sz val="10"/>
      <color theme="1"/>
      <name val="Arial"/>
      <family val="2"/>
    </font>
    <font>
      <sz val="11"/>
      <name val="Calibri"/>
      <family val="2"/>
    </font>
    <font>
      <sz val="11"/>
      <name val="Arial"/>
      <family val="2"/>
    </font>
    <font>
      <b/>
      <sz val="11"/>
      <name val="Calibri"/>
      <family val="2"/>
    </font>
    <font>
      <b/>
      <sz val="11"/>
      <color rgb="FF000000"/>
      <name val="Calibri"/>
      <family val="2"/>
    </font>
    <font>
      <sz val="11"/>
      <color rgb="FF000000"/>
      <name val="Calibri"/>
      <family val="2"/>
    </font>
    <font>
      <u/>
      <sz val="10"/>
      <color theme="10"/>
      <name val="Arial"/>
      <family val="2"/>
    </font>
    <font>
      <u/>
      <sz val="10"/>
      <color theme="11"/>
      <name val="Arial"/>
      <family val="2"/>
    </font>
    <font>
      <sz val="10"/>
      <color rgb="FF000000"/>
      <name val="Arial"/>
      <family val="2"/>
    </font>
    <font>
      <b/>
      <sz val="10"/>
      <color rgb="FF000000"/>
      <name val="Calibri"/>
      <family val="2"/>
    </font>
    <font>
      <sz val="10"/>
      <color rgb="FF000000"/>
      <name val="Calibri"/>
      <family val="2"/>
    </font>
    <font>
      <sz val="10"/>
      <name val="Calibri"/>
      <family val="2"/>
      <scheme val="minor"/>
    </font>
    <font>
      <i/>
      <sz val="11"/>
      <color theme="1"/>
      <name val="Calibri"/>
      <family val="2"/>
      <scheme val="minor"/>
    </font>
    <font>
      <sz val="7"/>
      <color theme="1"/>
      <name val="Times New Roman"/>
      <family val="1"/>
    </font>
    <font>
      <u/>
      <sz val="11"/>
      <color theme="1"/>
      <name val="Calibri"/>
      <family val="2"/>
      <scheme val="minor"/>
    </font>
    <font>
      <b/>
      <sz val="9"/>
      <color theme="1"/>
      <name val="Calibri"/>
      <family val="2"/>
      <scheme val="minor"/>
    </font>
    <font>
      <u/>
      <sz val="11"/>
      <color theme="10"/>
      <name val="Calibri"/>
      <family val="2"/>
      <scheme val="minor"/>
    </font>
  </fonts>
  <fills count="50">
    <fill>
      <patternFill patternType="none"/>
    </fill>
    <fill>
      <patternFill patternType="gray125"/>
    </fill>
    <fill>
      <patternFill patternType="solid">
        <fgColor indexed="43"/>
        <bgColor indexed="64"/>
      </patternFill>
    </fill>
    <fill>
      <patternFill patternType="solid">
        <fgColor rgb="FFFFC000"/>
        <bgColor indexed="64"/>
      </patternFill>
    </fill>
    <fill>
      <patternFill patternType="solid">
        <fgColor indexed="42"/>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5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rgb="FF92D05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9"/>
      </patternFill>
    </fill>
    <fill>
      <patternFill patternType="solid">
        <fgColor theme="5" tint="0.59999389629810485"/>
        <bgColor indexed="64"/>
      </patternFill>
    </fill>
    <fill>
      <patternFill patternType="solid">
        <fgColor rgb="FFFFFFFF"/>
        <bgColor indexed="64"/>
      </patternFill>
    </fill>
    <fill>
      <patternFill patternType="solid">
        <fgColor rgb="FFD9D9D9"/>
        <bgColor indexed="64"/>
      </patternFill>
    </fill>
    <fill>
      <patternFill patternType="solid">
        <fgColor rgb="FFACB9CA"/>
        <bgColor indexed="64"/>
      </patternFill>
    </fill>
    <fill>
      <patternFill patternType="solid">
        <fgColor rgb="FFFFE699"/>
        <bgColor indexed="64"/>
      </patternFill>
    </fill>
    <fill>
      <patternFill patternType="solid">
        <fgColor rgb="FFDBEDF1"/>
        <bgColor indexed="64"/>
      </patternFill>
    </fill>
    <fill>
      <patternFill patternType="solid">
        <fgColor rgb="FF000000"/>
        <bgColor indexed="64"/>
      </patternFill>
    </fill>
    <fill>
      <patternFill patternType="solid">
        <fgColor theme="0" tint="-0.499984740745262"/>
        <bgColor indexed="64"/>
      </patternFill>
    </fill>
  </fills>
  <borders count="10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bottom style="thick">
        <color indexed="64"/>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n">
        <color indexed="64"/>
      </right>
      <top/>
      <bottom style="thick">
        <color indexed="64"/>
      </bottom>
      <diagonal/>
    </border>
    <border>
      <left style="thick">
        <color indexed="64"/>
      </left>
      <right style="thin">
        <color indexed="64"/>
      </right>
      <top style="thin">
        <color indexed="64"/>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49"/>
      </top>
      <bottom style="double">
        <color indexed="49"/>
      </bottom>
      <diagonal/>
    </border>
    <border>
      <left style="thin">
        <color auto="1"/>
      </left>
      <right/>
      <top style="thin">
        <color auto="1"/>
      </top>
      <bottom style="thin">
        <color auto="1"/>
      </bottom>
      <diagonal/>
    </border>
    <border>
      <left/>
      <right style="thin">
        <color auto="1"/>
      </right>
      <top style="thin">
        <color auto="1"/>
      </top>
      <bottom/>
      <diagonal/>
    </border>
    <border>
      <left/>
      <right/>
      <top style="thin">
        <color auto="1"/>
      </top>
      <bottom style="thin">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medium">
        <color auto="1"/>
      </left>
      <right/>
      <top/>
      <bottom style="medium">
        <color auto="1"/>
      </bottom>
      <diagonal/>
    </border>
    <border>
      <left/>
      <right style="medium">
        <color rgb="FF000000"/>
      </right>
      <top style="medium">
        <color auto="1"/>
      </top>
      <bottom style="medium">
        <color auto="1"/>
      </bottom>
      <diagonal/>
    </border>
    <border>
      <left style="thin">
        <color indexed="64"/>
      </left>
      <right style="thick">
        <color indexed="64"/>
      </right>
      <top style="thin">
        <color indexed="64"/>
      </top>
      <bottom/>
      <diagonal/>
    </border>
    <border>
      <left style="thin">
        <color indexed="64"/>
      </left>
      <right style="thick">
        <color indexed="64"/>
      </right>
      <top/>
      <bottom style="medium">
        <color indexed="64"/>
      </bottom>
      <diagonal/>
    </border>
    <border>
      <left style="thin">
        <color auto="1"/>
      </left>
      <right/>
      <top style="thin">
        <color auto="1"/>
      </top>
      <bottom style="medium">
        <color auto="1"/>
      </bottom>
      <diagonal/>
    </border>
    <border>
      <left style="thin">
        <color indexed="64"/>
      </left>
      <right style="thick">
        <color indexed="64"/>
      </right>
      <top/>
      <bottom/>
      <diagonal/>
    </border>
    <border>
      <left/>
      <right/>
      <top/>
      <bottom style="medium">
        <color indexed="49"/>
      </bottom>
      <diagonal/>
    </border>
    <border>
      <left/>
      <right/>
      <top/>
      <bottom style="medium">
        <color indexed="30"/>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style="thin">
        <color indexed="64"/>
      </top>
      <bottom/>
      <diagonal/>
    </border>
    <border>
      <left/>
      <right style="medium">
        <color indexed="64"/>
      </right>
      <top style="thin">
        <color auto="1"/>
      </top>
      <bottom/>
      <diagonal/>
    </border>
    <border>
      <left style="thin">
        <color auto="1"/>
      </left>
      <right/>
      <top/>
      <bottom style="medium">
        <color indexed="64"/>
      </bottom>
      <diagonal/>
    </border>
    <border>
      <left style="medium">
        <color indexed="64"/>
      </left>
      <right style="thin">
        <color auto="1"/>
      </right>
      <top style="thin">
        <color indexed="64"/>
      </top>
      <bottom/>
      <diagonal/>
    </border>
    <border>
      <left style="medium">
        <color indexed="64"/>
      </left>
      <right style="thin">
        <color auto="1"/>
      </right>
      <top/>
      <bottom/>
      <diagonal/>
    </border>
    <border>
      <left style="medium">
        <color indexed="64"/>
      </left>
      <right style="thin">
        <color auto="1"/>
      </right>
      <top/>
      <bottom style="medium">
        <color auto="1"/>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3204">
    <xf numFmtId="0" fontId="0"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0" fillId="0" borderId="0"/>
    <xf numFmtId="9" fontId="10" fillId="0" borderId="0" applyFont="0" applyFill="0" applyBorder="0" applyAlignment="0" applyProtection="0"/>
    <xf numFmtId="165" fontId="10" fillId="0" borderId="0" applyFont="0" applyFill="0" applyBorder="0" applyAlignment="0" applyProtection="0"/>
    <xf numFmtId="0" fontId="10" fillId="0" borderId="0"/>
    <xf numFmtId="9" fontId="10" fillId="0" borderId="0" applyFont="0" applyFill="0" applyBorder="0" applyAlignment="0" applyProtection="0"/>
    <xf numFmtId="49" fontId="19" fillId="0" borderId="0">
      <alignment horizontal="left"/>
    </xf>
    <xf numFmtId="0" fontId="20" fillId="19"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31"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1" borderId="0" applyNumberFormat="0" applyBorder="0" applyAlignment="0" applyProtection="0"/>
    <xf numFmtId="0" fontId="21" fillId="36" borderId="0" applyNumberFormat="0" applyBorder="0" applyAlignment="0" applyProtection="0"/>
    <xf numFmtId="0" fontId="22" fillId="0" borderId="0" applyNumberFormat="0" applyFill="0" applyBorder="0" applyAlignment="0" applyProtection="0"/>
    <xf numFmtId="0" fontId="23" fillId="20" borderId="0" applyNumberFormat="0" applyBorder="0" applyAlignment="0" applyProtection="0"/>
    <xf numFmtId="0" fontId="24" fillId="37" borderId="56" applyNumberFormat="0" applyAlignment="0" applyProtection="0"/>
    <xf numFmtId="0" fontId="25" fillId="0" borderId="57" applyNumberFormat="0" applyFill="0" applyAlignment="0" applyProtection="0"/>
    <xf numFmtId="0" fontId="26" fillId="38" borderId="58" applyNumberFormat="0" applyAlignment="0" applyProtection="0"/>
    <xf numFmtId="175" fontId="1" fillId="0" borderId="0" applyFont="0" applyFill="0" applyBorder="0" applyAlignment="0" applyProtection="0"/>
    <xf numFmtId="165" fontId="1" fillId="0" borderId="0" applyFont="0" applyFill="0" applyBorder="0" applyAlignment="0" applyProtection="0"/>
    <xf numFmtId="175" fontId="10" fillId="0" borderId="0" applyFont="0" applyFill="0" applyBorder="0" applyAlignment="0" applyProtection="0"/>
    <xf numFmtId="43" fontId="1"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6" fontId="1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3" fontId="1" fillId="0" borderId="0" applyFont="0" applyFill="0" applyBorder="0" applyAlignment="0" applyProtection="0"/>
    <xf numFmtId="0" fontId="1" fillId="39" borderId="59" applyNumberFormat="0" applyFont="0" applyAlignment="0" applyProtection="0"/>
    <xf numFmtId="0" fontId="27" fillId="24" borderId="56" applyNumberFormat="0" applyAlignment="0" applyProtection="0"/>
    <xf numFmtId="0" fontId="1" fillId="0" borderId="0"/>
    <xf numFmtId="0" fontId="28" fillId="0" borderId="0" applyNumberFormat="0" applyFill="0" applyBorder="0" applyAlignment="0" applyProtection="0"/>
    <xf numFmtId="0" fontId="29" fillId="21" borderId="0" applyNumberFormat="0" applyBorder="0" applyAlignment="0" applyProtection="0"/>
    <xf numFmtId="0" fontId="30" fillId="0" borderId="60" applyNumberFormat="0" applyFill="0" applyAlignment="0" applyProtection="0"/>
    <xf numFmtId="0" fontId="31" fillId="0" borderId="61" applyNumberFormat="0" applyFill="0" applyAlignment="0" applyProtection="0"/>
    <xf numFmtId="0" fontId="32" fillId="0" borderId="62" applyNumberFormat="0" applyFill="0" applyAlignment="0" applyProtection="0"/>
    <xf numFmtId="0" fontId="32" fillId="0" borderId="0" applyNumberFormat="0" applyFill="0" applyBorder="0" applyAlignment="0" applyProtection="0"/>
    <xf numFmtId="0" fontId="23" fillId="20" borderId="0" applyNumberFormat="0" applyBorder="0" applyAlignment="0" applyProtection="0"/>
    <xf numFmtId="175" fontId="20" fillId="0" borderId="0" applyFont="0" applyFill="0" applyBorder="0" applyAlignment="0" applyProtection="0"/>
    <xf numFmtId="175" fontId="20" fillId="0" borderId="0" applyFont="0" applyFill="0" applyBorder="0" applyAlignment="0" applyProtection="0"/>
    <xf numFmtId="6" fontId="20" fillId="0" borderId="0" applyFont="0" applyFill="0" applyBorder="0" applyAlignment="0" applyProtection="0"/>
    <xf numFmtId="6"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4" fontId="1"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6" fontId="1" fillId="0" borderId="0" applyFont="0" applyFill="0" applyBorder="0" applyAlignment="0" applyProtection="0"/>
    <xf numFmtId="165"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5" fontId="1" fillId="0" borderId="0" applyFont="0" applyFill="0" applyBorder="0" applyAlignment="0" applyProtection="0"/>
    <xf numFmtId="164" fontId="1" fillId="0" borderId="0" applyFont="0" applyFill="0" applyBorder="0" applyAlignment="0" applyProtection="0"/>
    <xf numFmtId="0" fontId="33" fillId="40" borderId="0" applyNumberFormat="0" applyBorder="0" applyAlignment="0" applyProtection="0"/>
    <xf numFmtId="0" fontId="33" fillId="4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34" fillId="41" borderId="63"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9" fillId="21" borderId="0" applyNumberFormat="0" applyBorder="0" applyAlignment="0" applyProtection="0"/>
    <xf numFmtId="0" fontId="34" fillId="37" borderId="63"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pplyNumberFormat="0" applyFill="0" applyBorder="0" applyAlignment="0" applyProtection="0"/>
    <xf numFmtId="0" fontId="35" fillId="0" borderId="0" applyNumberFormat="0" applyFill="0" applyBorder="0" applyAlignment="0" applyProtection="0"/>
    <xf numFmtId="0" fontId="37" fillId="0" borderId="64" applyNumberFormat="0" applyFill="0" applyAlignment="0" applyProtection="0"/>
    <xf numFmtId="0" fontId="38" fillId="0" borderId="61" applyNumberFormat="0" applyFill="0" applyAlignment="0" applyProtection="0"/>
    <xf numFmtId="0" fontId="39" fillId="0" borderId="65" applyNumberFormat="0" applyFill="0" applyAlignment="0" applyProtection="0"/>
    <xf numFmtId="0" fontId="39" fillId="0" borderId="0" applyNumberFormat="0" applyFill="0" applyBorder="0" applyAlignment="0" applyProtection="0"/>
    <xf numFmtId="0" fontId="40" fillId="0" borderId="66" applyNumberFormat="0" applyFill="0" applyAlignment="0" applyProtection="0"/>
    <xf numFmtId="0" fontId="26" fillId="38" borderId="58" applyNumberFormat="0" applyAlignment="0" applyProtection="0"/>
    <xf numFmtId="0" fontId="10" fillId="0" borderId="0"/>
    <xf numFmtId="0" fontId="10" fillId="0" borderId="0"/>
    <xf numFmtId="9" fontId="10" fillId="0" borderId="0" applyFont="0" applyFill="0" applyBorder="0" applyAlignment="0" applyProtection="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175"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 fillId="0" borderId="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0" borderId="0" applyNumberFormat="0" applyFill="0" applyBorder="0" applyAlignment="0" applyProtection="0"/>
    <xf numFmtId="0" fontId="24" fillId="37" borderId="56" applyNumberFormat="0" applyAlignment="0" applyProtection="0"/>
    <xf numFmtId="0" fontId="25" fillId="0" borderId="57" applyNumberFormat="0" applyFill="0" applyAlignment="0" applyProtection="0"/>
    <xf numFmtId="175" fontId="1"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0" fontId="20" fillId="39" borderId="59" applyNumberFormat="0" applyFont="0" applyAlignment="0" applyProtection="0"/>
    <xf numFmtId="0" fontId="20" fillId="39" borderId="59" applyNumberFormat="0" applyFont="0" applyAlignment="0" applyProtection="0"/>
    <xf numFmtId="0" fontId="20" fillId="39" borderId="59" applyNumberFormat="0" applyFont="0" applyAlignment="0" applyProtection="0"/>
    <xf numFmtId="0" fontId="20" fillId="39" borderId="59" applyNumberFormat="0" applyFont="0" applyAlignment="0" applyProtection="0"/>
    <xf numFmtId="0" fontId="20" fillId="39" borderId="59" applyNumberFormat="0" applyFont="0" applyAlignment="0" applyProtection="0"/>
    <xf numFmtId="0" fontId="20" fillId="39" borderId="59" applyNumberFormat="0" applyFont="0" applyAlignment="0" applyProtection="0"/>
    <xf numFmtId="0" fontId="20" fillId="39" borderId="59" applyNumberFormat="0" applyFont="0" applyAlignment="0" applyProtection="0"/>
    <xf numFmtId="0" fontId="20" fillId="39" borderId="59" applyNumberFormat="0" applyFont="0" applyAlignment="0" applyProtection="0"/>
    <xf numFmtId="0" fontId="20" fillId="39" borderId="59" applyNumberFormat="0" applyFont="0" applyAlignment="0" applyProtection="0"/>
    <xf numFmtId="0" fontId="20" fillId="39" borderId="59" applyNumberFormat="0" applyFont="0" applyAlignment="0" applyProtection="0"/>
    <xf numFmtId="0" fontId="20" fillId="39" borderId="59" applyNumberFormat="0" applyFont="0" applyAlignment="0" applyProtection="0"/>
    <xf numFmtId="0" fontId="20" fillId="39" borderId="59" applyNumberFormat="0" applyFont="0" applyAlignment="0" applyProtection="0"/>
    <xf numFmtId="0" fontId="20" fillId="39" borderId="59" applyNumberFormat="0" applyFont="0" applyAlignment="0" applyProtection="0"/>
    <xf numFmtId="0" fontId="20" fillId="39" borderId="59" applyNumberFormat="0" applyFont="0" applyAlignment="0" applyProtection="0"/>
    <xf numFmtId="0" fontId="20" fillId="39" borderId="59" applyNumberFormat="0" applyFont="0" applyAlignment="0" applyProtection="0"/>
    <xf numFmtId="0" fontId="20" fillId="39" borderId="59" applyNumberFormat="0" applyFont="0" applyAlignment="0" applyProtection="0"/>
    <xf numFmtId="0" fontId="20" fillId="39" borderId="59" applyNumberFormat="0" applyFont="0" applyAlignment="0" applyProtection="0"/>
    <xf numFmtId="0" fontId="20" fillId="39" borderId="59" applyNumberFormat="0" applyFont="0" applyAlignment="0" applyProtection="0"/>
    <xf numFmtId="0" fontId="20" fillId="39" borderId="59" applyNumberFormat="0" applyFont="0" applyAlignment="0" applyProtection="0"/>
    <xf numFmtId="0" fontId="20" fillId="39" borderId="59" applyNumberFormat="0" applyFont="0" applyAlignment="0" applyProtection="0"/>
    <xf numFmtId="0" fontId="20" fillId="39" borderId="59" applyNumberFormat="0" applyFont="0" applyAlignment="0" applyProtection="0"/>
    <xf numFmtId="0" fontId="20" fillId="39" borderId="59" applyNumberFormat="0" applyFont="0" applyAlignment="0" applyProtection="0"/>
    <xf numFmtId="0" fontId="20" fillId="39" borderId="59" applyNumberFormat="0" applyFont="0" applyAlignment="0" applyProtection="0"/>
    <xf numFmtId="0" fontId="27" fillId="24" borderId="56" applyNumberFormat="0" applyAlignment="0" applyProtection="0"/>
    <xf numFmtId="0" fontId="23" fillId="20" borderId="0" applyNumberFormat="0" applyBorder="0" applyAlignment="0" applyProtection="0"/>
    <xf numFmtId="0" fontId="33" fillId="4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7" fontId="10" fillId="0" borderId="0"/>
    <xf numFmtId="177" fontId="10" fillId="0" borderId="0"/>
    <xf numFmtId="177" fontId="10" fillId="0" borderId="0"/>
    <xf numFmtId="177" fontId="10" fillId="0" borderId="0"/>
    <xf numFmtId="177" fontId="10" fillId="0" borderId="0"/>
    <xf numFmtId="177" fontId="10" fillId="0" borderId="0"/>
    <xf numFmtId="177" fontId="10" fillId="0" borderId="0"/>
    <xf numFmtId="177"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9" fillId="21" borderId="0" applyNumberFormat="0" applyBorder="0" applyAlignment="0" applyProtection="0"/>
    <xf numFmtId="0" fontId="34" fillId="37" borderId="63"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7" fontId="10" fillId="0" borderId="0"/>
    <xf numFmtId="177" fontId="10" fillId="0" borderId="0"/>
    <xf numFmtId="177" fontId="10" fillId="0" borderId="0"/>
    <xf numFmtId="177" fontId="10" fillId="0" borderId="0"/>
    <xf numFmtId="177" fontId="10" fillId="0" borderId="0"/>
    <xf numFmtId="177" fontId="10" fillId="0" borderId="0"/>
    <xf numFmtId="177" fontId="10" fillId="0" borderId="0"/>
    <xf numFmtId="177" fontId="10" fillId="0" borderId="0"/>
    <xf numFmtId="177"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pplyNumberFormat="0" applyFill="0" applyBorder="0" applyAlignment="0" applyProtection="0"/>
    <xf numFmtId="0" fontId="36" fillId="0" borderId="0" applyNumberFormat="0" applyFill="0" applyBorder="0" applyAlignment="0" applyProtection="0"/>
    <xf numFmtId="0" fontId="37" fillId="0" borderId="64" applyNumberFormat="0" applyFill="0" applyAlignment="0" applyProtection="0"/>
    <xf numFmtId="0" fontId="38" fillId="0" borderId="61" applyNumberFormat="0" applyFill="0" applyAlignment="0" applyProtection="0"/>
    <xf numFmtId="0" fontId="39" fillId="0" borderId="65" applyNumberFormat="0" applyFill="0" applyAlignment="0" applyProtection="0"/>
    <xf numFmtId="0" fontId="39" fillId="0" borderId="0" applyNumberFormat="0" applyFill="0" applyBorder="0" applyAlignment="0" applyProtection="0"/>
    <xf numFmtId="0" fontId="26" fillId="38" borderId="58" applyNumberFormat="0" applyAlignment="0" applyProtection="0"/>
    <xf numFmtId="0" fontId="1" fillId="0" borderId="0" applyNumberFormat="0" applyFont="0" applyFill="0" applyBorder="0" applyAlignment="0" applyProtection="0"/>
    <xf numFmtId="0" fontId="10" fillId="0" borderId="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9" fontId="10" fillId="0" borderId="0" applyFont="0" applyFill="0" applyBorder="0" applyAlignment="0" applyProtection="0"/>
    <xf numFmtId="0" fontId="10" fillId="0" borderId="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9"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applyNumberFormat="0" applyFont="0" applyFill="0" applyBorder="0" applyAlignment="0" applyProtection="0"/>
    <xf numFmtId="0" fontId="10" fillId="0" borderId="0"/>
    <xf numFmtId="177" fontId="10" fillId="0" borderId="0"/>
    <xf numFmtId="177" fontId="10" fillId="0" borderId="0"/>
    <xf numFmtId="177" fontId="10" fillId="0" borderId="0"/>
    <xf numFmtId="177" fontId="10" fillId="0" borderId="0"/>
    <xf numFmtId="177"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7" fontId="10" fillId="0" borderId="0"/>
    <xf numFmtId="177" fontId="10" fillId="0" borderId="0"/>
    <xf numFmtId="177"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7" fontId="10" fillId="0" borderId="0"/>
    <xf numFmtId="177" fontId="10" fillId="0" borderId="0"/>
    <xf numFmtId="177" fontId="10" fillId="0" borderId="0"/>
    <xf numFmtId="177" fontId="10" fillId="0" borderId="0"/>
    <xf numFmtId="177"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7" fontId="10" fillId="0" borderId="0"/>
    <xf numFmtId="177" fontId="10" fillId="0" borderId="0"/>
    <xf numFmtId="177" fontId="10" fillId="0" borderId="0"/>
    <xf numFmtId="177"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54" fillId="0" borderId="0"/>
    <xf numFmtId="9" fontId="54" fillId="0" borderId="0" applyFont="0" applyFill="0" applyBorder="0" applyAlignment="0" applyProtection="0"/>
    <xf numFmtId="43" fontId="54" fillId="0" borderId="0" applyFont="0" applyFill="0" applyBorder="0" applyAlignment="0" applyProtection="0"/>
    <xf numFmtId="0" fontId="1" fillId="0" borderId="0"/>
    <xf numFmtId="0" fontId="10" fillId="0" borderId="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178" fontId="1" fillId="0" borderId="0"/>
    <xf numFmtId="0" fontId="10" fillId="0" borderId="0"/>
    <xf numFmtId="0" fontId="10" fillId="0" borderId="0"/>
    <xf numFmtId="0" fontId="59" fillId="0" borderId="0" applyNumberFormat="0" applyFill="0" applyBorder="0" applyAlignment="0" applyProtection="0"/>
    <xf numFmtId="0" fontId="60" fillId="0" borderId="0" applyNumberFormat="0" applyFill="0" applyBorder="0" applyAlignment="0" applyProtection="0"/>
    <xf numFmtId="0" fontId="24" fillId="37" borderId="73" applyNumberFormat="0" applyAlignment="0" applyProtection="0"/>
    <xf numFmtId="0" fontId="1" fillId="39" borderId="74" applyNumberFormat="0" applyFont="0" applyAlignment="0" applyProtection="0"/>
    <xf numFmtId="0" fontId="27" fillId="24" borderId="73" applyNumberFormat="0" applyAlignment="0" applyProtection="0"/>
    <xf numFmtId="0" fontId="24" fillId="37" borderId="73" applyNumberFormat="0" applyAlignment="0" applyProtection="0"/>
    <xf numFmtId="0" fontId="20" fillId="39" borderId="74" applyNumberFormat="0" applyFont="0" applyAlignment="0" applyProtection="0"/>
    <xf numFmtId="0" fontId="20" fillId="39" borderId="74" applyNumberFormat="0" applyFont="0" applyAlignment="0" applyProtection="0"/>
    <xf numFmtId="0" fontId="20" fillId="39" borderId="74" applyNumberFormat="0" applyFont="0" applyAlignment="0" applyProtection="0"/>
    <xf numFmtId="0" fontId="20" fillId="39" borderId="74" applyNumberFormat="0" applyFont="0" applyAlignment="0" applyProtection="0"/>
    <xf numFmtId="0" fontId="20" fillId="39" borderId="74" applyNumberFormat="0" applyFont="0" applyAlignment="0" applyProtection="0"/>
    <xf numFmtId="0" fontId="20" fillId="39" borderId="74" applyNumberFormat="0" applyFont="0" applyAlignment="0" applyProtection="0"/>
    <xf numFmtId="0" fontId="20" fillId="39" borderId="74" applyNumberFormat="0" applyFont="0" applyAlignment="0" applyProtection="0"/>
    <xf numFmtId="0" fontId="20" fillId="39" borderId="74" applyNumberFormat="0" applyFont="0" applyAlignment="0" applyProtection="0"/>
    <xf numFmtId="0" fontId="20" fillId="39" borderId="74" applyNumberFormat="0" applyFont="0" applyAlignment="0" applyProtection="0"/>
    <xf numFmtId="0" fontId="20" fillId="39" borderId="74" applyNumberFormat="0" applyFont="0" applyAlignment="0" applyProtection="0"/>
    <xf numFmtId="0" fontId="20" fillId="39" borderId="74" applyNumberFormat="0" applyFont="0" applyAlignment="0" applyProtection="0"/>
    <xf numFmtId="0" fontId="20" fillId="39" borderId="74" applyNumberFormat="0" applyFont="0" applyAlignment="0" applyProtection="0"/>
    <xf numFmtId="0" fontId="20" fillId="39" borderId="74" applyNumberFormat="0" applyFont="0" applyAlignment="0" applyProtection="0"/>
    <xf numFmtId="0" fontId="20" fillId="39" borderId="74" applyNumberFormat="0" applyFont="0" applyAlignment="0" applyProtection="0"/>
    <xf numFmtId="0" fontId="20" fillId="39" borderId="74" applyNumberFormat="0" applyFont="0" applyAlignment="0" applyProtection="0"/>
    <xf numFmtId="0" fontId="20" fillId="39" borderId="74" applyNumberFormat="0" applyFont="0" applyAlignment="0" applyProtection="0"/>
    <xf numFmtId="0" fontId="20" fillId="39" borderId="74" applyNumberFormat="0" applyFont="0" applyAlignment="0" applyProtection="0"/>
    <xf numFmtId="0" fontId="20" fillId="39" borderId="74" applyNumberFormat="0" applyFont="0" applyAlignment="0" applyProtection="0"/>
    <xf numFmtId="0" fontId="20" fillId="39" borderId="74" applyNumberFormat="0" applyFont="0" applyAlignment="0" applyProtection="0"/>
    <xf numFmtId="0" fontId="20" fillId="39" borderId="74" applyNumberFormat="0" applyFont="0" applyAlignment="0" applyProtection="0"/>
    <xf numFmtId="0" fontId="20" fillId="39" borderId="74" applyNumberFormat="0" applyFont="0" applyAlignment="0" applyProtection="0"/>
    <xf numFmtId="0" fontId="20" fillId="39" borderId="74" applyNumberFormat="0" applyFont="0" applyAlignment="0" applyProtection="0"/>
    <xf numFmtId="0" fontId="20" fillId="39" borderId="74" applyNumberFormat="0" applyFont="0" applyAlignment="0" applyProtection="0"/>
    <xf numFmtId="0" fontId="27" fillId="24" borderId="73"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32" fillId="0" borderId="86" applyNumberFormat="0" applyFill="0" applyAlignment="0" applyProtection="0"/>
    <xf numFmtId="0" fontId="39" fillId="0" borderId="87" applyNumberFormat="0" applyFill="0" applyAlignment="0" applyProtection="0"/>
    <xf numFmtId="0" fontId="39" fillId="0" borderId="87"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9" fillId="0" borderId="0" applyNumberFormat="0" applyFill="0" applyBorder="0" applyAlignment="0" applyProtection="0"/>
  </cellStyleXfs>
  <cellXfs count="816">
    <xf numFmtId="0" fontId="0" fillId="0" borderId="0" xfId="0"/>
    <xf numFmtId="0" fontId="1" fillId="0" borderId="0" xfId="3"/>
    <xf numFmtId="0" fontId="2" fillId="2" borderId="1" xfId="3" applyFont="1" applyFill="1" applyBorder="1" applyAlignment="1">
      <alignment vertical="top" wrapText="1"/>
    </xf>
    <xf numFmtId="0" fontId="2" fillId="0" borderId="0" xfId="3" applyFont="1" applyBorder="1" applyAlignment="1">
      <alignment vertical="top" wrapText="1"/>
    </xf>
    <xf numFmtId="0" fontId="5" fillId="0" borderId="0" xfId="3" applyFont="1" applyFill="1" applyBorder="1" applyAlignment="1">
      <alignment vertical="top" wrapText="1"/>
    </xf>
    <xf numFmtId="0" fontId="1" fillId="0" borderId="0" xfId="3" applyFill="1" applyBorder="1"/>
    <xf numFmtId="0" fontId="5" fillId="0" borderId="7" xfId="3" applyFont="1" applyFill="1" applyBorder="1" applyAlignment="1">
      <alignment vertical="top" wrapText="1"/>
    </xf>
    <xf numFmtId="0" fontId="5" fillId="2" borderId="4" xfId="3" applyFont="1" applyFill="1" applyBorder="1" applyAlignment="1">
      <alignment vertical="top" wrapText="1"/>
    </xf>
    <xf numFmtId="0" fontId="5" fillId="4" borderId="4" xfId="3" applyFont="1" applyFill="1" applyBorder="1" applyAlignment="1">
      <alignment vertical="top" wrapText="1"/>
    </xf>
    <xf numFmtId="0" fontId="5" fillId="5" borderId="4" xfId="3" applyFont="1" applyFill="1" applyBorder="1" applyAlignment="1">
      <alignment horizontal="center" vertical="center" wrapText="1"/>
    </xf>
    <xf numFmtId="0" fontId="5" fillId="0" borderId="1" xfId="3" applyFont="1" applyBorder="1" applyAlignment="1">
      <alignment horizontal="center" vertical="top" wrapText="1"/>
    </xf>
    <xf numFmtId="0" fontId="4" fillId="0" borderId="11" xfId="3" applyFont="1" applyBorder="1" applyAlignment="1">
      <alignment vertical="top" wrapText="1"/>
    </xf>
    <xf numFmtId="0" fontId="4" fillId="0" borderId="11" xfId="3" applyFont="1" applyBorder="1" applyAlignment="1">
      <alignment horizontal="right" vertical="top" wrapText="1"/>
    </xf>
    <xf numFmtId="0" fontId="4" fillId="0" borderId="4" xfId="3" applyFont="1" applyBorder="1" applyAlignment="1">
      <alignment horizontal="center" vertical="top" wrapText="1"/>
    </xf>
    <xf numFmtId="0" fontId="4" fillId="0" borderId="4" xfId="3" applyFont="1" applyBorder="1" applyAlignment="1">
      <alignment horizontal="center" vertical="top" wrapText="1"/>
    </xf>
    <xf numFmtId="0" fontId="5" fillId="0" borderId="13" xfId="3" applyFont="1" applyBorder="1" applyAlignment="1">
      <alignment horizontal="center" vertical="top" wrapText="1"/>
    </xf>
    <xf numFmtId="0" fontId="4" fillId="9" borderId="1" xfId="3" applyFont="1" applyFill="1" applyBorder="1" applyAlignment="1">
      <alignment vertical="top" wrapText="1"/>
    </xf>
    <xf numFmtId="0" fontId="4" fillId="0" borderId="2" xfId="3" applyFont="1" applyBorder="1" applyAlignment="1">
      <alignment vertical="top" wrapText="1"/>
    </xf>
    <xf numFmtId="0" fontId="5" fillId="4" borderId="4" xfId="3" applyFont="1" applyFill="1" applyBorder="1" applyAlignment="1">
      <alignment horizontal="center" vertical="top" wrapText="1"/>
    </xf>
    <xf numFmtId="0" fontId="4" fillId="0" borderId="16" xfId="3" applyFont="1" applyBorder="1" applyAlignment="1">
      <alignment vertical="top" wrapText="1"/>
    </xf>
    <xf numFmtId="0" fontId="4" fillId="0" borderId="15" xfId="3" applyFont="1" applyBorder="1" applyAlignment="1">
      <alignment horizontal="center" vertical="top" wrapText="1"/>
    </xf>
    <xf numFmtId="0" fontId="4" fillId="8" borderId="0" xfId="3" applyFont="1" applyFill="1" applyBorder="1" applyAlignment="1">
      <alignment vertical="top" wrapText="1"/>
    </xf>
    <xf numFmtId="0" fontId="4" fillId="0" borderId="0" xfId="3" applyFont="1" applyBorder="1" applyAlignment="1">
      <alignment vertical="top" wrapText="1"/>
    </xf>
    <xf numFmtId="0" fontId="5" fillId="7" borderId="1" xfId="3" applyFont="1" applyFill="1" applyBorder="1" applyAlignment="1">
      <alignment vertical="top" wrapText="1"/>
    </xf>
    <xf numFmtId="0" fontId="5" fillId="10" borderId="4" xfId="3" applyFont="1" applyFill="1" applyBorder="1" applyAlignment="1">
      <alignment vertical="top" wrapText="1"/>
    </xf>
    <xf numFmtId="166" fontId="4" fillId="0" borderId="19" xfId="2" applyNumberFormat="1" applyFont="1" applyFill="1" applyBorder="1" applyAlignment="1">
      <alignment vertical="top" wrapText="1"/>
    </xf>
    <xf numFmtId="0" fontId="4" fillId="6" borderId="1" xfId="3" applyFont="1" applyFill="1" applyBorder="1" applyAlignment="1">
      <alignment vertical="top" wrapText="1"/>
    </xf>
    <xf numFmtId="0" fontId="5" fillId="4" borderId="12" xfId="3" applyFont="1" applyFill="1" applyBorder="1" applyAlignment="1">
      <alignment horizontal="center" vertical="top" wrapText="1"/>
    </xf>
    <xf numFmtId="0" fontId="4" fillId="0" borderId="1" xfId="3" applyFont="1" applyBorder="1" applyAlignment="1">
      <alignment horizontal="center" vertical="top" wrapText="1"/>
    </xf>
    <xf numFmtId="0" fontId="5" fillId="2" borderId="11" xfId="3" applyFont="1" applyFill="1" applyBorder="1" applyAlignment="1">
      <alignment vertical="center" wrapText="1"/>
    </xf>
    <xf numFmtId="0" fontId="1" fillId="0" borderId="0" xfId="3" applyAlignment="1">
      <alignment vertical="center"/>
    </xf>
    <xf numFmtId="167" fontId="4" fillId="0" borderId="11" xfId="1" applyNumberFormat="1" applyFont="1" applyBorder="1" applyAlignment="1">
      <alignment vertical="top" wrapText="1"/>
    </xf>
    <xf numFmtId="167" fontId="4" fillId="0" borderId="10" xfId="1" applyNumberFormat="1" applyFont="1" applyBorder="1" applyAlignment="1">
      <alignment horizontal="center" vertical="top" wrapText="1"/>
    </xf>
    <xf numFmtId="9" fontId="1" fillId="0" borderId="0" xfId="2"/>
    <xf numFmtId="167" fontId="4" fillId="0" borderId="5" xfId="1" applyNumberFormat="1" applyFont="1" applyBorder="1" applyAlignment="1">
      <alignment vertical="top" wrapText="1"/>
    </xf>
    <xf numFmtId="167" fontId="4" fillId="0" borderId="4" xfId="1" applyNumberFormat="1" applyFont="1" applyBorder="1" applyAlignment="1">
      <alignment vertical="top" wrapText="1"/>
    </xf>
    <xf numFmtId="167" fontId="4" fillId="0" borderId="1" xfId="1" applyNumberFormat="1" applyFont="1" applyFill="1" applyBorder="1" applyAlignment="1">
      <alignment vertical="top" wrapText="1"/>
    </xf>
    <xf numFmtId="167" fontId="4" fillId="0" borderId="1" xfId="1" applyNumberFormat="1" applyFont="1" applyBorder="1" applyAlignment="1">
      <alignment horizontal="center" vertical="top" wrapText="1"/>
    </xf>
    <xf numFmtId="167" fontId="4" fillId="0" borderId="5" xfId="1" applyNumberFormat="1" applyFont="1" applyFill="1" applyBorder="1" applyAlignment="1">
      <alignment vertical="top" wrapText="1"/>
    </xf>
    <xf numFmtId="167" fontId="4" fillId="0" borderId="4" xfId="1" applyNumberFormat="1" applyFont="1" applyFill="1" applyBorder="1" applyAlignment="1">
      <alignment vertical="top" wrapText="1"/>
    </xf>
    <xf numFmtId="0" fontId="5" fillId="0" borderId="5" xfId="3" applyFont="1" applyBorder="1" applyAlignment="1">
      <alignment horizontal="center" vertical="top" wrapText="1"/>
    </xf>
    <xf numFmtId="9" fontId="4" fillId="0" borderId="1" xfId="2" applyFont="1" applyFill="1" applyBorder="1" applyAlignment="1">
      <alignment vertical="top" wrapText="1"/>
    </xf>
    <xf numFmtId="9" fontId="4" fillId="0" borderId="11" xfId="2" applyFont="1" applyFill="1" applyBorder="1" applyAlignment="1">
      <alignment horizontal="right" vertical="top" wrapText="1"/>
    </xf>
    <xf numFmtId="165" fontId="5" fillId="4" borderId="4" xfId="1" applyFont="1" applyFill="1" applyBorder="1" applyAlignment="1">
      <alignment horizontal="center" vertical="top" wrapText="1"/>
    </xf>
    <xf numFmtId="0" fontId="4" fillId="0" borderId="12" xfId="3" applyFont="1" applyBorder="1" applyAlignment="1">
      <alignment horizontal="center" vertical="top" wrapText="1"/>
    </xf>
    <xf numFmtId="0" fontId="5" fillId="2" borderId="4" xfId="3" applyFont="1" applyFill="1" applyBorder="1" applyAlignment="1">
      <alignment vertical="center" wrapText="1"/>
    </xf>
    <xf numFmtId="9" fontId="1" fillId="0" borderId="0" xfId="3" applyNumberFormat="1" applyAlignment="1">
      <alignment vertical="center"/>
    </xf>
    <xf numFmtId="0" fontId="5" fillId="5" borderId="1" xfId="3" applyFont="1" applyFill="1" applyBorder="1" applyAlignment="1">
      <alignment horizontal="center" vertical="center" wrapText="1"/>
    </xf>
    <xf numFmtId="167" fontId="4" fillId="0" borderId="1" xfId="1" applyNumberFormat="1" applyFont="1" applyBorder="1" applyAlignment="1">
      <alignment vertical="top" wrapText="1"/>
    </xf>
    <xf numFmtId="167" fontId="4" fillId="0" borderId="21" xfId="1" applyNumberFormat="1" applyFont="1" applyBorder="1" applyAlignment="1">
      <alignment vertical="top" wrapText="1"/>
    </xf>
    <xf numFmtId="167" fontId="4" fillId="0" borderId="9" xfId="1" applyNumberFormat="1" applyFont="1" applyBorder="1" applyAlignment="1">
      <alignment vertical="top" wrapText="1"/>
    </xf>
    <xf numFmtId="167" fontId="4" fillId="0" borderId="10" xfId="1" applyNumberFormat="1" applyFont="1" applyBorder="1" applyAlignment="1">
      <alignment vertical="top" wrapText="1"/>
    </xf>
    <xf numFmtId="9" fontId="4" fillId="0" borderId="5" xfId="2" applyFont="1" applyFill="1" applyBorder="1" applyAlignment="1">
      <alignment vertical="top" wrapText="1"/>
    </xf>
    <xf numFmtId="9" fontId="4" fillId="0" borderId="19" xfId="2" applyFont="1" applyFill="1" applyBorder="1" applyAlignment="1">
      <alignment vertical="top" wrapText="1"/>
    </xf>
    <xf numFmtId="9" fontId="4" fillId="0" borderId="20" xfId="2" applyFont="1" applyBorder="1" applyAlignment="1">
      <alignment vertical="top" wrapText="1"/>
    </xf>
    <xf numFmtId="0" fontId="5" fillId="0" borderId="21" xfId="3" applyFont="1" applyBorder="1" applyAlignment="1">
      <alignment horizontal="center" vertical="top" wrapText="1"/>
    </xf>
    <xf numFmtId="167" fontId="4" fillId="6" borderId="14" xfId="1" applyNumberFormat="1" applyFont="1" applyFill="1" applyBorder="1" applyAlignment="1">
      <alignment vertical="top" wrapText="1"/>
    </xf>
    <xf numFmtId="0" fontId="5" fillId="0" borderId="22" xfId="3" applyFont="1" applyBorder="1" applyAlignment="1">
      <alignment horizontal="center" vertical="top" wrapText="1"/>
    </xf>
    <xf numFmtId="9" fontId="4" fillId="0" borderId="1" xfId="2" applyFont="1" applyBorder="1" applyAlignment="1">
      <alignment vertical="top" wrapText="1"/>
    </xf>
    <xf numFmtId="9" fontId="4" fillId="0" borderId="22" xfId="2" applyFont="1" applyBorder="1" applyAlignment="1">
      <alignment vertical="top" wrapText="1"/>
    </xf>
    <xf numFmtId="9" fontId="4" fillId="0" borderId="13" xfId="2" applyFont="1" applyBorder="1" applyAlignment="1">
      <alignment vertical="top" wrapText="1"/>
    </xf>
    <xf numFmtId="0" fontId="5" fillId="0" borderId="23" xfId="3" applyFont="1" applyBorder="1" applyAlignment="1">
      <alignment horizontal="center" vertical="top" wrapText="1"/>
    </xf>
    <xf numFmtId="0" fontId="4" fillId="9" borderId="3" xfId="3" applyFont="1" applyFill="1" applyBorder="1" applyAlignment="1">
      <alignment vertical="top" wrapText="1"/>
    </xf>
    <xf numFmtId="9" fontId="4" fillId="0" borderId="9" xfId="2" applyFont="1" applyFill="1" applyBorder="1" applyAlignment="1">
      <alignment vertical="top" wrapText="1"/>
    </xf>
    <xf numFmtId="9" fontId="4" fillId="0" borderId="20" xfId="2" applyFont="1" applyFill="1" applyBorder="1" applyAlignment="1">
      <alignment vertical="top" wrapText="1"/>
    </xf>
    <xf numFmtId="9" fontId="4" fillId="0" borderId="23" xfId="2" applyFont="1" applyFill="1" applyBorder="1" applyAlignment="1">
      <alignment vertical="top" wrapText="1"/>
    </xf>
    <xf numFmtId="9" fontId="4" fillId="0" borderId="12" xfId="2" applyFont="1" applyFill="1" applyBorder="1" applyAlignment="1">
      <alignment vertical="top" wrapText="1"/>
    </xf>
    <xf numFmtId="9" fontId="4" fillId="0" borderId="13" xfId="2" applyFont="1" applyFill="1" applyBorder="1" applyAlignment="1">
      <alignment vertical="top" wrapText="1"/>
    </xf>
    <xf numFmtId="165" fontId="5" fillId="4" borderId="24" xfId="1" applyFont="1" applyFill="1" applyBorder="1" applyAlignment="1">
      <alignment horizontal="center" vertical="top" wrapText="1"/>
    </xf>
    <xf numFmtId="165" fontId="5" fillId="4" borderId="25" xfId="1" applyFont="1" applyFill="1" applyBorder="1" applyAlignment="1">
      <alignment horizontal="center" vertical="top" wrapText="1"/>
    </xf>
    <xf numFmtId="0" fontId="5" fillId="2" borderId="11" xfId="3" applyFont="1" applyFill="1" applyBorder="1" applyAlignment="1">
      <alignment vertical="top" wrapText="1"/>
    </xf>
    <xf numFmtId="0" fontId="5" fillId="0" borderId="12" xfId="3" applyFont="1" applyBorder="1" applyAlignment="1">
      <alignment horizontal="center" vertical="top" wrapText="1"/>
    </xf>
    <xf numFmtId="167" fontId="4" fillId="0" borderId="9" xfId="1" applyNumberFormat="1" applyFont="1" applyBorder="1" applyAlignment="1">
      <alignment horizontal="center" vertical="top" wrapText="1"/>
    </xf>
    <xf numFmtId="0" fontId="4" fillId="9" borderId="7" xfId="3" applyFont="1" applyFill="1" applyBorder="1" applyAlignment="1">
      <alignment vertical="top" wrapText="1"/>
    </xf>
    <xf numFmtId="9" fontId="4" fillId="0" borderId="13" xfId="2" applyFont="1" applyBorder="1" applyAlignment="1">
      <alignment horizontal="right" vertical="top" wrapText="1"/>
    </xf>
    <xf numFmtId="9" fontId="4" fillId="0" borderId="4" xfId="2" applyFont="1" applyBorder="1" applyAlignment="1">
      <alignment horizontal="center" vertical="top" wrapText="1"/>
    </xf>
    <xf numFmtId="9" fontId="4" fillId="0" borderId="4" xfId="2" applyFont="1" applyBorder="1" applyAlignment="1">
      <alignment horizontal="right" vertical="top" wrapText="1"/>
    </xf>
    <xf numFmtId="0" fontId="5" fillId="4" borderId="1" xfId="3" applyFont="1" applyFill="1" applyBorder="1" applyAlignment="1">
      <alignment horizontal="center" vertical="top" wrapText="1"/>
    </xf>
    <xf numFmtId="0" fontId="5" fillId="0" borderId="9" xfId="3" applyFont="1" applyBorder="1" applyAlignment="1">
      <alignment horizontal="center" vertical="top" wrapText="1"/>
    </xf>
    <xf numFmtId="167" fontId="4" fillId="6" borderId="1" xfId="1" applyNumberFormat="1" applyFont="1" applyFill="1" applyBorder="1" applyAlignment="1">
      <alignment vertical="top" wrapText="1"/>
    </xf>
    <xf numFmtId="168" fontId="4" fillId="0" borderId="21" xfId="1" applyNumberFormat="1" applyFont="1" applyBorder="1" applyAlignment="1">
      <alignment vertical="top" wrapText="1"/>
    </xf>
    <xf numFmtId="0" fontId="5" fillId="0" borderId="19" xfId="3" applyFont="1" applyBorder="1" applyAlignment="1">
      <alignment horizontal="center" vertical="top" wrapText="1"/>
    </xf>
    <xf numFmtId="9" fontId="4" fillId="0" borderId="11" xfId="2" applyFont="1" applyFill="1" applyBorder="1" applyAlignment="1">
      <alignment vertical="top" wrapText="1"/>
    </xf>
    <xf numFmtId="167" fontId="4" fillId="0" borderId="1" xfId="1" applyNumberFormat="1" applyFont="1" applyBorder="1" applyAlignment="1">
      <alignment horizontal="right" vertical="top" wrapText="1"/>
    </xf>
    <xf numFmtId="9" fontId="4" fillId="0" borderId="1" xfId="2" applyFont="1" applyFill="1" applyBorder="1" applyAlignment="1">
      <alignment horizontal="right" vertical="top" wrapText="1"/>
    </xf>
    <xf numFmtId="167" fontId="4" fillId="0" borderId="1" xfId="1" applyNumberFormat="1" applyFont="1" applyFill="1" applyBorder="1" applyAlignment="1">
      <alignment horizontal="right" vertical="top" wrapText="1"/>
    </xf>
    <xf numFmtId="165" fontId="4" fillId="0" borderId="21" xfId="1" applyNumberFormat="1" applyFont="1" applyFill="1" applyBorder="1" applyAlignment="1">
      <alignment horizontal="right" vertical="top" wrapText="1"/>
    </xf>
    <xf numFmtId="0" fontId="4" fillId="0" borderId="1" xfId="3" applyFont="1" applyFill="1" applyBorder="1" applyAlignment="1">
      <alignment horizontal="right" vertical="top" wrapText="1"/>
    </xf>
    <xf numFmtId="169" fontId="4" fillId="0" borderId="19" xfId="1" applyNumberFormat="1" applyFont="1" applyFill="1" applyBorder="1" applyAlignment="1">
      <alignment horizontal="right" vertical="top" wrapText="1"/>
    </xf>
    <xf numFmtId="169" fontId="4" fillId="0" borderId="1" xfId="1" applyNumberFormat="1" applyFont="1" applyFill="1" applyBorder="1" applyAlignment="1">
      <alignment vertical="top" wrapText="1"/>
    </xf>
    <xf numFmtId="0" fontId="5" fillId="9" borderId="11" xfId="3" applyFont="1" applyFill="1" applyBorder="1" applyAlignment="1">
      <alignment vertical="top" wrapText="1"/>
    </xf>
    <xf numFmtId="0" fontId="5" fillId="9" borderId="7" xfId="3" applyFont="1" applyFill="1" applyBorder="1" applyAlignment="1">
      <alignment vertical="top" wrapText="1"/>
    </xf>
    <xf numFmtId="170" fontId="5" fillId="0" borderId="11" xfId="3" applyNumberFormat="1" applyFont="1" applyBorder="1" applyAlignment="1">
      <alignment vertical="top" wrapText="1"/>
    </xf>
    <xf numFmtId="0" fontId="5" fillId="0" borderId="11" xfId="3" applyFont="1" applyBorder="1" applyAlignment="1">
      <alignment vertical="top" wrapText="1"/>
    </xf>
    <xf numFmtId="0" fontId="4" fillId="0" borderId="7" xfId="3" applyFont="1" applyBorder="1" applyAlignment="1">
      <alignment vertical="top"/>
    </xf>
    <xf numFmtId="0" fontId="5" fillId="0" borderId="7" xfId="3" applyFont="1" applyBorder="1" applyAlignment="1">
      <alignment vertical="top" wrapText="1"/>
    </xf>
    <xf numFmtId="0" fontId="5" fillId="9" borderId="4" xfId="3" applyFont="1" applyFill="1" applyBorder="1" applyAlignment="1">
      <alignment vertical="top" wrapText="1"/>
    </xf>
    <xf numFmtId="0" fontId="5" fillId="9" borderId="1" xfId="3" applyFont="1" applyFill="1" applyBorder="1" applyAlignment="1">
      <alignment vertical="top" wrapText="1"/>
    </xf>
    <xf numFmtId="0" fontId="5" fillId="7" borderId="1" xfId="3" applyFont="1" applyFill="1" applyBorder="1" applyAlignment="1">
      <alignment vertical="center" wrapText="1"/>
    </xf>
    <xf numFmtId="0" fontId="5" fillId="0" borderId="4" xfId="3" applyFont="1" applyFill="1" applyBorder="1" applyAlignment="1">
      <alignment vertical="center" wrapText="1"/>
    </xf>
    <xf numFmtId="0" fontId="5" fillId="10" borderId="4" xfId="3" applyFont="1" applyFill="1" applyBorder="1" applyAlignment="1">
      <alignment vertical="center" wrapText="1"/>
    </xf>
    <xf numFmtId="167" fontId="4" fillId="0" borderId="21" xfId="1" applyNumberFormat="1" applyFont="1" applyBorder="1" applyAlignment="1">
      <alignment horizontal="right" vertical="top" wrapText="1"/>
    </xf>
    <xf numFmtId="9" fontId="4" fillId="0" borderId="19" xfId="2" applyFont="1" applyFill="1" applyBorder="1" applyAlignment="1">
      <alignment horizontal="right" vertical="top" wrapText="1"/>
    </xf>
    <xf numFmtId="167" fontId="4" fillId="6" borderId="21" xfId="1" applyNumberFormat="1" applyFont="1" applyFill="1" applyBorder="1" applyAlignment="1">
      <alignment vertical="top" wrapText="1"/>
    </xf>
    <xf numFmtId="167" fontId="4" fillId="6" borderId="20" xfId="1" applyNumberFormat="1" applyFont="1" applyFill="1" applyBorder="1" applyAlignment="1">
      <alignment vertical="top" wrapText="1"/>
    </xf>
    <xf numFmtId="9" fontId="4" fillId="0" borderId="26" xfId="2" applyFont="1" applyBorder="1" applyAlignment="1">
      <alignment vertical="top" wrapText="1"/>
    </xf>
    <xf numFmtId="0" fontId="4" fillId="9" borderId="19" xfId="3" applyFont="1" applyFill="1" applyBorder="1" applyAlignment="1">
      <alignment vertical="top" wrapText="1"/>
    </xf>
    <xf numFmtId="9" fontId="4" fillId="0" borderId="23" xfId="2" applyFont="1" applyFill="1" applyBorder="1" applyAlignment="1">
      <alignment horizontal="right" vertical="top" wrapText="1"/>
    </xf>
    <xf numFmtId="9" fontId="4" fillId="0" borderId="27" xfId="2" applyFont="1" applyFill="1" applyBorder="1" applyAlignment="1">
      <alignment vertical="top" wrapText="1"/>
    </xf>
    <xf numFmtId="9" fontId="4" fillId="0" borderId="26" xfId="2" applyFont="1" applyFill="1" applyBorder="1" applyAlignment="1">
      <alignment vertical="top" wrapText="1"/>
    </xf>
    <xf numFmtId="167" fontId="4" fillId="0" borderId="4" xfId="1" applyNumberFormat="1" applyFont="1" applyBorder="1" applyAlignment="1">
      <alignment horizontal="center" vertical="top" wrapText="1"/>
    </xf>
    <xf numFmtId="0" fontId="5" fillId="0" borderId="28" xfId="3" applyFont="1" applyBorder="1" applyAlignment="1">
      <alignment horizontal="center" vertical="top" wrapText="1"/>
    </xf>
    <xf numFmtId="167" fontId="4" fillId="0" borderId="20" xfId="1" applyNumberFormat="1" applyFont="1" applyFill="1" applyBorder="1" applyAlignment="1">
      <alignment vertical="top" wrapText="1"/>
    </xf>
    <xf numFmtId="167" fontId="4" fillId="0" borderId="9" xfId="1" applyNumberFormat="1" applyFont="1" applyFill="1" applyBorder="1" applyAlignment="1">
      <alignment vertical="top" wrapText="1"/>
    </xf>
    <xf numFmtId="9" fontId="4" fillId="0" borderId="13" xfId="2" applyFont="1" applyFill="1" applyBorder="1" applyAlignment="1">
      <alignment horizontal="right" vertical="top" wrapText="1"/>
    </xf>
    <xf numFmtId="0" fontId="4" fillId="9" borderId="0" xfId="3" applyFont="1" applyFill="1" applyBorder="1" applyAlignment="1">
      <alignment vertical="top" wrapText="1"/>
    </xf>
    <xf numFmtId="167" fontId="4" fillId="0" borderId="9" xfId="1" applyNumberFormat="1" applyFont="1" applyFill="1" applyBorder="1" applyAlignment="1">
      <alignment horizontal="right" vertical="top" wrapText="1"/>
    </xf>
    <xf numFmtId="1" fontId="4" fillId="0" borderId="1" xfId="3" applyNumberFormat="1" applyFont="1" applyFill="1" applyBorder="1" applyAlignment="1">
      <alignment vertical="top" wrapText="1"/>
    </xf>
    <xf numFmtId="0" fontId="4" fillId="0" borderId="1" xfId="3" applyFont="1" applyBorder="1" applyAlignment="1">
      <alignment vertical="top" wrapText="1"/>
    </xf>
    <xf numFmtId="1" fontId="4" fillId="0" borderId="11" xfId="3" applyNumberFormat="1" applyFont="1" applyBorder="1" applyAlignment="1">
      <alignment vertical="top" wrapText="1"/>
    </xf>
    <xf numFmtId="1" fontId="4" fillId="0" borderId="4" xfId="3" applyNumberFormat="1" applyFont="1" applyBorder="1" applyAlignment="1">
      <alignment horizontal="center" vertical="top" wrapText="1"/>
    </xf>
    <xf numFmtId="1" fontId="4" fillId="0" borderId="4" xfId="3" applyNumberFormat="1" applyFont="1" applyBorder="1" applyAlignment="1">
      <alignment horizontal="right" vertical="top" wrapText="1"/>
    </xf>
    <xf numFmtId="0" fontId="4" fillId="0" borderId="21" xfId="3" applyFont="1" applyBorder="1" applyAlignment="1">
      <alignment vertical="top" wrapText="1"/>
    </xf>
    <xf numFmtId="0" fontId="4" fillId="0" borderId="19" xfId="3" applyFont="1" applyBorder="1" applyAlignment="1">
      <alignment vertical="top" wrapText="1"/>
    </xf>
    <xf numFmtId="0" fontId="5" fillId="0" borderId="1" xfId="3" applyFont="1" applyBorder="1" applyAlignment="1">
      <alignment horizontal="center" vertical="center" wrapText="1"/>
    </xf>
    <xf numFmtId="0" fontId="4" fillId="9" borderId="7" xfId="3" applyFont="1" applyFill="1" applyBorder="1" applyAlignment="1">
      <alignment vertical="center" wrapText="1"/>
    </xf>
    <xf numFmtId="0" fontId="4" fillId="0" borderId="1" xfId="3" applyFont="1" applyFill="1" applyBorder="1" applyAlignment="1">
      <alignment horizontal="center" vertical="center" wrapText="1"/>
    </xf>
    <xf numFmtId="1" fontId="4" fillId="0" borderId="1" xfId="3" applyNumberFormat="1" applyFont="1" applyFill="1" applyBorder="1" applyAlignment="1">
      <alignment horizontal="center" vertical="center" wrapText="1"/>
    </xf>
    <xf numFmtId="0" fontId="5" fillId="0" borderId="28" xfId="3" applyFont="1" applyBorder="1" applyAlignment="1">
      <alignment horizontal="center" vertical="center" wrapText="1"/>
    </xf>
    <xf numFmtId="0" fontId="4" fillId="9" borderId="1" xfId="3" applyFont="1" applyFill="1" applyBorder="1" applyAlignment="1">
      <alignment vertical="center" wrapText="1"/>
    </xf>
    <xf numFmtId="9" fontId="4" fillId="0" borderId="33" xfId="3" applyNumberFormat="1" applyFont="1" applyFill="1" applyBorder="1" applyAlignment="1">
      <alignment vertical="center" wrapText="1"/>
    </xf>
    <xf numFmtId="9" fontId="4" fillId="0" borderId="1" xfId="2" applyFont="1" applyFill="1" applyBorder="1" applyAlignment="1">
      <alignment vertical="center" wrapText="1"/>
    </xf>
    <xf numFmtId="9" fontId="4" fillId="0" borderId="4" xfId="2" applyFont="1" applyFill="1" applyBorder="1" applyAlignment="1">
      <alignment horizontal="center" vertical="center" wrapText="1"/>
    </xf>
    <xf numFmtId="0" fontId="4" fillId="0" borderId="1" xfId="3" applyFont="1" applyFill="1" applyBorder="1" applyAlignment="1">
      <alignment vertical="top" wrapText="1"/>
    </xf>
    <xf numFmtId="167" fontId="4" fillId="0" borderId="1" xfId="1" applyNumberFormat="1" applyFont="1" applyBorder="1" applyAlignment="1">
      <alignment horizontal="right" vertical="center" wrapText="1"/>
    </xf>
    <xf numFmtId="167" fontId="4" fillId="0" borderId="1" xfId="1" applyNumberFormat="1" applyFont="1" applyBorder="1" applyAlignment="1">
      <alignment horizontal="center" vertical="center" wrapText="1"/>
    </xf>
    <xf numFmtId="9" fontId="4" fillId="0" borderId="1" xfId="2" applyFont="1" applyBorder="1" applyAlignment="1">
      <alignment horizontal="right" vertical="center" wrapText="1"/>
    </xf>
    <xf numFmtId="0" fontId="5" fillId="7" borderId="13" xfId="3" applyFont="1" applyFill="1" applyBorder="1" applyAlignment="1">
      <alignment vertical="top" wrapText="1"/>
    </xf>
    <xf numFmtId="0" fontId="4" fillId="0" borderId="4" xfId="3" applyFont="1" applyFill="1" applyBorder="1" applyAlignment="1">
      <alignment vertical="center" wrapText="1"/>
    </xf>
    <xf numFmtId="0" fontId="5" fillId="10" borderId="11" xfId="3" applyFont="1" applyFill="1" applyBorder="1" applyAlignment="1">
      <alignment vertical="top" wrapText="1"/>
    </xf>
    <xf numFmtId="171" fontId="5" fillId="0" borderId="11" xfId="3" applyNumberFormat="1" applyFont="1" applyFill="1" applyBorder="1" applyAlignment="1">
      <alignment vertical="top" wrapText="1"/>
    </xf>
    <xf numFmtId="0" fontId="5" fillId="2" borderId="1" xfId="3" applyFont="1" applyFill="1" applyBorder="1" applyAlignment="1">
      <alignment vertical="center" wrapText="1"/>
    </xf>
    <xf numFmtId="0" fontId="4" fillId="0" borderId="9" xfId="3" applyFont="1" applyBorder="1" applyAlignment="1">
      <alignment horizontal="center" vertical="top" wrapText="1"/>
    </xf>
    <xf numFmtId="0" fontId="4" fillId="9" borderId="5" xfId="3" applyFont="1" applyFill="1" applyBorder="1" applyAlignment="1">
      <alignment vertical="top" wrapText="1"/>
    </xf>
    <xf numFmtId="0" fontId="5" fillId="6" borderId="11" xfId="3" applyFont="1" applyFill="1" applyBorder="1" applyAlignment="1">
      <alignment vertical="top" wrapText="1"/>
    </xf>
    <xf numFmtId="0" fontId="5" fillId="6" borderId="12" xfId="3" applyFont="1" applyFill="1" applyBorder="1" applyAlignment="1">
      <alignment vertical="top" wrapText="1"/>
    </xf>
    <xf numFmtId="0" fontId="5" fillId="6" borderId="12" xfId="3" applyFont="1" applyFill="1" applyBorder="1" applyAlignment="1">
      <alignment horizontal="center" vertical="top" wrapText="1"/>
    </xf>
    <xf numFmtId="0" fontId="4" fillId="6" borderId="11" xfId="3" applyFont="1" applyFill="1" applyBorder="1" applyAlignment="1">
      <alignment vertical="top" wrapText="1"/>
    </xf>
    <xf numFmtId="0" fontId="4" fillId="6" borderId="12" xfId="3" applyFont="1" applyFill="1" applyBorder="1" applyAlignment="1">
      <alignment vertical="top" wrapText="1"/>
    </xf>
    <xf numFmtId="0" fontId="5" fillId="6" borderId="1" xfId="3" applyFont="1" applyFill="1" applyBorder="1" applyAlignment="1">
      <alignment horizontal="center" vertical="top" wrapText="1"/>
    </xf>
    <xf numFmtId="0" fontId="4" fillId="6" borderId="7" xfId="3" applyFont="1" applyFill="1" applyBorder="1" applyAlignment="1">
      <alignment vertical="top" wrapText="1"/>
    </xf>
    <xf numFmtId="0" fontId="4" fillId="6" borderId="13" xfId="3" applyFont="1" applyFill="1" applyBorder="1" applyAlignment="1">
      <alignment vertical="top" wrapText="1"/>
    </xf>
    <xf numFmtId="0" fontId="4" fillId="6" borderId="5" xfId="3" applyFont="1" applyFill="1" applyBorder="1" applyAlignment="1">
      <alignment vertical="top" wrapText="1"/>
    </xf>
    <xf numFmtId="0" fontId="5" fillId="0" borderId="0" xfId="3" applyFont="1" applyBorder="1" applyAlignment="1">
      <alignment vertical="top" wrapText="1"/>
    </xf>
    <xf numFmtId="0" fontId="5" fillId="2" borderId="1" xfId="3" applyFont="1" applyFill="1" applyBorder="1" applyAlignment="1">
      <alignment vertical="top" wrapText="1"/>
    </xf>
    <xf numFmtId="3" fontId="4" fillId="0" borderId="1" xfId="3" applyNumberFormat="1" applyFont="1" applyFill="1" applyBorder="1" applyAlignment="1">
      <alignment horizontal="right" vertical="top" wrapText="1"/>
    </xf>
    <xf numFmtId="167" fontId="4" fillId="0" borderId="1" xfId="3" applyNumberFormat="1" applyFont="1" applyFill="1" applyBorder="1" applyAlignment="1">
      <alignment vertical="top" wrapText="1"/>
    </xf>
    <xf numFmtId="167" fontId="4" fillId="0" borderId="1" xfId="2" applyNumberFormat="1" applyFont="1" applyBorder="1" applyAlignment="1">
      <alignment vertical="top" wrapText="1"/>
    </xf>
    <xf numFmtId="0" fontId="5" fillId="0" borderId="16" xfId="3" applyFont="1" applyBorder="1" applyAlignment="1">
      <alignment horizontal="center" vertical="top" wrapText="1"/>
    </xf>
    <xf numFmtId="1" fontId="4" fillId="0" borderId="11" xfId="3" applyNumberFormat="1" applyFont="1" applyBorder="1" applyAlignment="1">
      <alignment horizontal="right" vertical="top" wrapText="1"/>
    </xf>
    <xf numFmtId="1" fontId="4" fillId="0" borderId="5" xfId="3" applyNumberFormat="1" applyFont="1" applyBorder="1" applyAlignment="1">
      <alignment vertical="top" wrapText="1"/>
    </xf>
    <xf numFmtId="1" fontId="4" fillId="0" borderId="4" xfId="3" applyNumberFormat="1" applyFont="1" applyBorder="1" applyAlignment="1">
      <alignment vertical="top" wrapText="1"/>
    </xf>
    <xf numFmtId="0" fontId="5" fillId="0" borderId="17" xfId="3" applyFont="1" applyBorder="1" applyAlignment="1">
      <alignment horizontal="center" vertical="top" wrapText="1"/>
    </xf>
    <xf numFmtId="0" fontId="4" fillId="6" borderId="3" xfId="3" applyFont="1" applyFill="1" applyBorder="1" applyAlignment="1">
      <alignment vertical="top" wrapText="1"/>
    </xf>
    <xf numFmtId="0" fontId="4" fillId="0" borderId="3" xfId="3" applyFont="1" applyFill="1" applyBorder="1" applyAlignment="1">
      <alignment horizontal="right" vertical="top" wrapText="1"/>
    </xf>
    <xf numFmtId="9" fontId="4" fillId="0" borderId="3" xfId="2" applyFont="1" applyFill="1" applyBorder="1" applyAlignment="1">
      <alignment vertical="top" wrapText="1"/>
    </xf>
    <xf numFmtId="9" fontId="4" fillId="0" borderId="12" xfId="2" applyFont="1" applyBorder="1" applyAlignment="1">
      <alignment horizontal="right" vertical="top" wrapText="1"/>
    </xf>
    <xf numFmtId="9" fontId="4" fillId="0" borderId="0" xfId="2" applyFont="1" applyBorder="1" applyAlignment="1">
      <alignment horizontal="right" vertical="top" wrapText="1"/>
    </xf>
    <xf numFmtId="0" fontId="4" fillId="0" borderId="1" xfId="3" applyFont="1" applyBorder="1" applyAlignment="1">
      <alignment horizontal="right" vertical="top" wrapText="1"/>
    </xf>
    <xf numFmtId="1" fontId="4" fillId="0" borderId="9" xfId="3" applyNumberFormat="1" applyFont="1" applyBorder="1" applyAlignment="1">
      <alignment horizontal="right" vertical="top" wrapText="1"/>
    </xf>
    <xf numFmtId="1" fontId="4" fillId="0" borderId="1" xfId="3" applyNumberFormat="1" applyFont="1" applyFill="1" applyBorder="1" applyAlignment="1">
      <alignment horizontal="right" vertical="top" wrapText="1"/>
    </xf>
    <xf numFmtId="1" fontId="4" fillId="0" borderId="1" xfId="3" applyNumberFormat="1" applyFont="1" applyBorder="1" applyAlignment="1">
      <alignment horizontal="right" vertical="top" wrapText="1"/>
    </xf>
    <xf numFmtId="0" fontId="4" fillId="0" borderId="11" xfId="3" applyFont="1" applyFill="1" applyBorder="1" applyAlignment="1">
      <alignment vertical="top" wrapText="1"/>
    </xf>
    <xf numFmtId="1" fontId="4" fillId="0" borderId="10" xfId="3" applyNumberFormat="1" applyFont="1" applyBorder="1" applyAlignment="1">
      <alignment horizontal="right" vertical="top" wrapText="1"/>
    </xf>
    <xf numFmtId="1" fontId="4" fillId="0" borderId="1" xfId="3" applyNumberFormat="1" applyFont="1" applyBorder="1" applyAlignment="1">
      <alignment vertical="top" wrapText="1"/>
    </xf>
    <xf numFmtId="0" fontId="4" fillId="0" borderId="12" xfId="3" applyFont="1" applyBorder="1" applyAlignment="1">
      <alignment horizontal="right" vertical="top" wrapText="1"/>
    </xf>
    <xf numFmtId="0" fontId="4" fillId="0" borderId="5" xfId="3" applyFont="1" applyFill="1" applyBorder="1" applyAlignment="1">
      <alignment vertical="top" wrapText="1"/>
    </xf>
    <xf numFmtId="0" fontId="4" fillId="0" borderId="4" xfId="3" applyFont="1" applyFill="1" applyBorder="1" applyAlignment="1">
      <alignment vertical="top" wrapText="1"/>
    </xf>
    <xf numFmtId="0" fontId="4" fillId="0" borderId="10" xfId="3" applyFont="1" applyBorder="1" applyAlignment="1">
      <alignment horizontal="right" vertical="top" wrapText="1"/>
    </xf>
    <xf numFmtId="0" fontId="4" fillId="0" borderId="5" xfId="3" applyFont="1" applyBorder="1" applyAlignment="1">
      <alignment vertical="top" wrapText="1"/>
    </xf>
    <xf numFmtId="0" fontId="4" fillId="0" borderId="4" xfId="3" applyFont="1" applyBorder="1" applyAlignment="1">
      <alignment vertical="top" wrapText="1"/>
    </xf>
    <xf numFmtId="0" fontId="4" fillId="0" borderId="4" xfId="3" applyFont="1" applyBorder="1" applyAlignment="1">
      <alignment horizontal="right" vertical="top" wrapText="1"/>
    </xf>
    <xf numFmtId="0" fontId="5" fillId="0" borderId="5" xfId="3" applyFont="1" applyBorder="1" applyAlignment="1">
      <alignment vertical="top" wrapText="1"/>
    </xf>
    <xf numFmtId="0" fontId="5" fillId="0" borderId="4" xfId="3" applyFont="1" applyBorder="1" applyAlignment="1">
      <alignment vertical="top" wrapText="1"/>
    </xf>
    <xf numFmtId="1" fontId="4" fillId="0" borderId="21" xfId="3" applyNumberFormat="1" applyFont="1" applyBorder="1" applyAlignment="1">
      <alignment vertical="top" wrapText="1"/>
    </xf>
    <xf numFmtId="1" fontId="5" fillId="0" borderId="5" xfId="3" applyNumberFormat="1" applyFont="1" applyBorder="1" applyAlignment="1">
      <alignment vertical="top" wrapText="1"/>
    </xf>
    <xf numFmtId="1" fontId="5" fillId="0" borderId="4" xfId="3" applyNumberFormat="1" applyFont="1" applyBorder="1" applyAlignment="1">
      <alignment vertical="top" wrapText="1"/>
    </xf>
    <xf numFmtId="0" fontId="4" fillId="0" borderId="3" xfId="3" applyFont="1" applyBorder="1" applyAlignment="1">
      <alignment vertical="top" wrapText="1"/>
    </xf>
    <xf numFmtId="9" fontId="4" fillId="0" borderId="5" xfId="2" applyFont="1" applyBorder="1" applyAlignment="1">
      <alignment vertical="top" wrapText="1"/>
    </xf>
    <xf numFmtId="9" fontId="4" fillId="0" borderId="4" xfId="2" applyFont="1" applyBorder="1" applyAlignment="1">
      <alignment vertical="top" wrapText="1"/>
    </xf>
    <xf numFmtId="0" fontId="4" fillId="6" borderId="29" xfId="3" applyFont="1" applyFill="1" applyBorder="1" applyAlignment="1">
      <alignment vertical="top" wrapText="1"/>
    </xf>
    <xf numFmtId="0" fontId="4" fillId="6" borderId="21" xfId="3" applyFont="1" applyFill="1" applyBorder="1" applyAlignment="1">
      <alignment vertical="top" wrapText="1"/>
    </xf>
    <xf numFmtId="1" fontId="4" fillId="0" borderId="21" xfId="3" applyNumberFormat="1" applyFont="1" applyBorder="1" applyAlignment="1">
      <alignment horizontal="right" vertical="top" wrapText="1"/>
    </xf>
    <xf numFmtId="0" fontId="4" fillId="0" borderId="21" xfId="3" applyFont="1" applyBorder="1" applyAlignment="1">
      <alignment horizontal="right" vertical="top" wrapText="1"/>
    </xf>
    <xf numFmtId="0" fontId="5" fillId="7" borderId="13" xfId="3" applyFont="1" applyFill="1" applyBorder="1" applyAlignment="1">
      <alignment vertical="center" wrapText="1"/>
    </xf>
    <xf numFmtId="0" fontId="4" fillId="0" borderId="19" xfId="3" applyFont="1" applyBorder="1" applyAlignment="1">
      <alignment horizontal="right" vertical="top" wrapText="1"/>
    </xf>
    <xf numFmtId="9" fontId="4" fillId="0" borderId="10" xfId="2" applyFont="1" applyBorder="1" applyAlignment="1">
      <alignment horizontal="right" vertical="top" wrapText="1"/>
    </xf>
    <xf numFmtId="9" fontId="4" fillId="0" borderId="10" xfId="2" applyFont="1" applyBorder="1" applyAlignment="1">
      <alignment horizontal="center" vertical="top" wrapText="1"/>
    </xf>
    <xf numFmtId="9" fontId="4" fillId="0" borderId="19" xfId="3" applyNumberFormat="1" applyFont="1" applyBorder="1" applyAlignment="1">
      <alignment vertical="top" wrapText="1"/>
    </xf>
    <xf numFmtId="9" fontId="4" fillId="0" borderId="5" xfId="2" applyFont="1" applyBorder="1" applyAlignment="1">
      <alignment horizontal="right" vertical="top" wrapText="1"/>
    </xf>
    <xf numFmtId="167" fontId="4" fillId="0" borderId="1" xfId="2" applyNumberFormat="1" applyFont="1" applyBorder="1" applyAlignment="1">
      <alignment horizontal="right" vertical="top" wrapText="1"/>
    </xf>
    <xf numFmtId="1" fontId="4" fillId="0" borderId="10" xfId="3" applyNumberFormat="1" applyFont="1" applyBorder="1" applyAlignment="1">
      <alignment vertical="top" wrapText="1"/>
    </xf>
    <xf numFmtId="0" fontId="0" fillId="0" borderId="0" xfId="0" applyNumberFormat="1" applyFont="1" applyFill="1" applyBorder="1" applyAlignment="1"/>
    <xf numFmtId="0" fontId="0" fillId="0" borderId="0" xfId="0" applyNumberFormat="1" applyFont="1" applyFill="1" applyBorder="1" applyAlignment="1">
      <alignment horizontal="center"/>
    </xf>
    <xf numFmtId="0" fontId="0" fillId="0" borderId="0" xfId="0" applyNumberFormat="1" applyFont="1" applyFill="1" applyBorder="1" applyAlignment="1">
      <alignment horizontal="center" vertical="center"/>
    </xf>
    <xf numFmtId="0" fontId="0" fillId="0" borderId="26" xfId="0" applyNumberFormat="1" applyFont="1" applyFill="1" applyBorder="1" applyAlignment="1"/>
    <xf numFmtId="0" fontId="0" fillId="0" borderId="26" xfId="0" applyNumberFormat="1" applyFont="1" applyFill="1" applyBorder="1" applyAlignment="1">
      <alignment horizontal="center"/>
    </xf>
    <xf numFmtId="1" fontId="0" fillId="13" borderId="8" xfId="0" applyNumberFormat="1" applyFont="1" applyFill="1" applyBorder="1" applyAlignment="1">
      <alignment horizontal="center"/>
    </xf>
    <xf numFmtId="0" fontId="0" fillId="0" borderId="34" xfId="0" applyNumberFormat="1" applyFont="1" applyFill="1" applyBorder="1" applyAlignment="1">
      <alignment horizontal="center"/>
    </xf>
    <xf numFmtId="0" fontId="0" fillId="0" borderId="35" xfId="0" applyNumberFormat="1" applyFont="1" applyFill="1" applyBorder="1" applyAlignment="1">
      <alignment horizontal="center"/>
    </xf>
    <xf numFmtId="0" fontId="0" fillId="13" borderId="34" xfId="0" applyNumberFormat="1" applyFont="1" applyFill="1" applyBorder="1" applyAlignment="1">
      <alignment horizontal="center"/>
    </xf>
    <xf numFmtId="1" fontId="0" fillId="0" borderId="35" xfId="0" applyNumberFormat="1" applyFont="1" applyFill="1" applyBorder="1" applyAlignment="1">
      <alignment horizontal="center"/>
    </xf>
    <xf numFmtId="0" fontId="9" fillId="0" borderId="39" xfId="0" applyNumberFormat="1" applyFont="1" applyFill="1" applyBorder="1" applyAlignment="1">
      <alignment horizontal="center" vertical="center"/>
    </xf>
    <xf numFmtId="0" fontId="9" fillId="0" borderId="39" xfId="0" applyNumberFormat="1" applyFont="1" applyFill="1" applyBorder="1" applyAlignment="1"/>
    <xf numFmtId="0" fontId="9" fillId="0" borderId="39" xfId="0" applyNumberFormat="1" applyFont="1" applyFill="1" applyBorder="1" applyAlignment="1">
      <alignment horizontal="center"/>
    </xf>
    <xf numFmtId="0" fontId="0" fillId="0" borderId="18" xfId="0" applyNumberFormat="1" applyFont="1" applyFill="1" applyBorder="1" applyAlignment="1"/>
    <xf numFmtId="0" fontId="0" fillId="0" borderId="18" xfId="0" applyNumberFormat="1" applyFont="1" applyFill="1" applyBorder="1" applyAlignment="1">
      <alignment horizontal="center"/>
    </xf>
    <xf numFmtId="0" fontId="0" fillId="0" borderId="38" xfId="0" applyNumberFormat="1" applyFont="1" applyFill="1" applyBorder="1" applyAlignment="1">
      <alignment horizontal="center"/>
    </xf>
    <xf numFmtId="0" fontId="0" fillId="0" borderId="37" xfId="0" applyNumberFormat="1" applyFont="1" applyFill="1" applyBorder="1" applyAlignment="1">
      <alignment horizontal="center"/>
    </xf>
    <xf numFmtId="1" fontId="0" fillId="0" borderId="38" xfId="0" applyNumberFormat="1" applyFont="1" applyFill="1" applyBorder="1" applyAlignment="1">
      <alignment horizontal="center"/>
    </xf>
    <xf numFmtId="0" fontId="0" fillId="13" borderId="37" xfId="0" applyNumberFormat="1" applyFont="1" applyFill="1" applyBorder="1" applyAlignment="1">
      <alignment horizontal="center"/>
    </xf>
    <xf numFmtId="0" fontId="9" fillId="0" borderId="41" xfId="0" applyNumberFormat="1" applyFont="1" applyFill="1" applyBorder="1" applyAlignment="1">
      <alignment horizontal="center" vertical="center"/>
    </xf>
    <xf numFmtId="0" fontId="9" fillId="0" borderId="41" xfId="0" applyNumberFormat="1" applyFont="1" applyFill="1" applyBorder="1" applyAlignment="1"/>
    <xf numFmtId="0" fontId="9" fillId="0" borderId="41" xfId="0" applyNumberFormat="1" applyFont="1" applyFill="1" applyBorder="1" applyAlignment="1">
      <alignment horizontal="center"/>
    </xf>
    <xf numFmtId="0" fontId="9" fillId="0" borderId="42" xfId="0" applyNumberFormat="1" applyFont="1" applyFill="1" applyBorder="1" applyAlignment="1">
      <alignment horizontal="center"/>
    </xf>
    <xf numFmtId="0" fontId="9" fillId="14" borderId="43" xfId="0" applyNumberFormat="1" applyFont="1" applyFill="1" applyBorder="1" applyAlignment="1">
      <alignment horizontal="center"/>
    </xf>
    <xf numFmtId="0" fontId="9" fillId="14" borderId="41" xfId="0" applyNumberFormat="1" applyFont="1" applyFill="1" applyBorder="1" applyAlignment="1">
      <alignment horizontal="center"/>
    </xf>
    <xf numFmtId="0" fontId="9" fillId="0" borderId="43" xfId="0" applyNumberFormat="1" applyFont="1" applyFill="1" applyBorder="1" applyAlignment="1">
      <alignment horizontal="center"/>
    </xf>
    <xf numFmtId="0" fontId="9" fillId="0" borderId="48" xfId="0" applyNumberFormat="1" applyFont="1" applyFill="1" applyBorder="1" applyAlignment="1">
      <alignment horizontal="center"/>
    </xf>
    <xf numFmtId="0" fontId="0" fillId="0" borderId="50" xfId="0" applyNumberFormat="1" applyFont="1" applyFill="1" applyBorder="1" applyAlignment="1"/>
    <xf numFmtId="0" fontId="0" fillId="0" borderId="51" xfId="0" applyNumberFormat="1" applyFont="1" applyFill="1" applyBorder="1" applyAlignment="1">
      <alignment horizontal="center"/>
    </xf>
    <xf numFmtId="0" fontId="0" fillId="0" borderId="52" xfId="0" applyNumberFormat="1" applyFont="1" applyFill="1" applyBorder="1" applyAlignment="1">
      <alignment horizontal="center"/>
    </xf>
    <xf numFmtId="0" fontId="0" fillId="0" borderId="50" xfId="0" applyNumberFormat="1" applyFont="1" applyFill="1" applyBorder="1" applyAlignment="1">
      <alignment horizontal="center"/>
    </xf>
    <xf numFmtId="1" fontId="0" fillId="0" borderId="51" xfId="0" applyNumberFormat="1" applyFont="1" applyFill="1" applyBorder="1" applyAlignment="1">
      <alignment horizontal="center"/>
    </xf>
    <xf numFmtId="0" fontId="0" fillId="13" borderId="52" xfId="0" applyNumberFormat="1" applyFont="1" applyFill="1" applyBorder="1" applyAlignment="1">
      <alignment horizontal="center"/>
    </xf>
    <xf numFmtId="1" fontId="0" fillId="13" borderId="49" xfId="0" applyNumberFormat="1" applyFont="1" applyFill="1" applyBorder="1" applyAlignment="1">
      <alignment horizontal="center"/>
    </xf>
    <xf numFmtId="0" fontId="9" fillId="12" borderId="18" xfId="0" applyNumberFormat="1" applyFont="1" applyFill="1" applyBorder="1" applyAlignment="1"/>
    <xf numFmtId="0" fontId="9" fillId="12" borderId="38" xfId="0" applyNumberFormat="1" applyFont="1" applyFill="1" applyBorder="1" applyAlignment="1">
      <alignment horizontal="center"/>
    </xf>
    <xf numFmtId="0" fontId="9" fillId="12" borderId="37" xfId="0" applyNumberFormat="1" applyFont="1" applyFill="1" applyBorder="1" applyAlignment="1">
      <alignment horizontal="center"/>
    </xf>
    <xf numFmtId="0" fontId="9" fillId="12" borderId="18" xfId="0" applyNumberFormat="1" applyFont="1" applyFill="1" applyBorder="1" applyAlignment="1">
      <alignment horizontal="center"/>
    </xf>
    <xf numFmtId="0" fontId="9" fillId="13" borderId="37" xfId="0" applyNumberFormat="1" applyFont="1" applyFill="1" applyBorder="1" applyAlignment="1">
      <alignment horizontal="center"/>
    </xf>
    <xf numFmtId="1" fontId="9" fillId="13" borderId="18" xfId="0" applyNumberFormat="1" applyFont="1" applyFill="1" applyBorder="1" applyAlignment="1">
      <alignment horizontal="center"/>
    </xf>
    <xf numFmtId="0" fontId="9" fillId="12" borderId="18"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9" fontId="4" fillId="0" borderId="9" xfId="1" applyNumberFormat="1" applyFont="1" applyBorder="1" applyAlignment="1">
      <alignment vertical="top" wrapText="1"/>
    </xf>
    <xf numFmtId="0" fontId="5" fillId="4" borderId="11" xfId="3" applyFont="1" applyFill="1" applyBorder="1" applyAlignment="1">
      <alignment horizontal="center" vertical="center" wrapText="1"/>
    </xf>
    <xf numFmtId="0" fontId="5" fillId="4" borderId="10" xfId="3" applyFont="1" applyFill="1" applyBorder="1" applyAlignment="1">
      <alignment horizontal="center" vertical="center" wrapText="1"/>
    </xf>
    <xf numFmtId="0" fontId="5" fillId="4" borderId="4" xfId="3" applyFont="1" applyFill="1" applyBorder="1" applyAlignment="1">
      <alignment horizontal="center" vertical="center" wrapText="1"/>
    </xf>
    <xf numFmtId="9" fontId="4" fillId="0" borderId="21" xfId="2" applyFont="1" applyFill="1" applyBorder="1" applyAlignment="1">
      <alignment vertical="top" wrapText="1"/>
    </xf>
    <xf numFmtId="167" fontId="4" fillId="0" borderId="1" xfId="1" applyNumberFormat="1" applyFont="1" applyFill="1" applyBorder="1" applyAlignment="1">
      <alignment horizontal="center" vertical="top" wrapText="1"/>
    </xf>
    <xf numFmtId="0" fontId="5" fillId="4" borderId="1" xfId="3" applyFont="1" applyFill="1" applyBorder="1" applyAlignment="1">
      <alignment horizontal="center" vertical="center" wrapText="1"/>
    </xf>
    <xf numFmtId="0" fontId="9" fillId="0" borderId="26" xfId="0" applyNumberFormat="1" applyFont="1" applyFill="1" applyBorder="1" applyAlignment="1"/>
    <xf numFmtId="0" fontId="9" fillId="0" borderId="26" xfId="0" applyNumberFormat="1" applyFont="1" applyFill="1" applyBorder="1" applyAlignment="1">
      <alignment horizontal="center"/>
    </xf>
    <xf numFmtId="0" fontId="9" fillId="0" borderId="26" xfId="0" applyNumberFormat="1" applyFont="1" applyFill="1" applyBorder="1" applyAlignment="1">
      <alignment horizontal="center" vertical="center"/>
    </xf>
    <xf numFmtId="0" fontId="9" fillId="14" borderId="26" xfId="0" applyNumberFormat="1" applyFont="1" applyFill="1" applyBorder="1" applyAlignment="1">
      <alignment horizontal="center"/>
    </xf>
    <xf numFmtId="173" fontId="0" fillId="0" borderId="26" xfId="0" applyNumberFormat="1" applyFont="1" applyFill="1" applyBorder="1" applyAlignment="1">
      <alignment horizontal="center"/>
    </xf>
    <xf numFmtId="1" fontId="0" fillId="0" borderId="26" xfId="0" applyNumberFormat="1" applyFont="1" applyFill="1" applyBorder="1" applyAlignment="1">
      <alignment horizontal="center"/>
    </xf>
    <xf numFmtId="0" fontId="0" fillId="13" borderId="26" xfId="0" applyNumberFormat="1" applyFont="1" applyFill="1" applyBorder="1" applyAlignment="1">
      <alignment horizontal="center"/>
    </xf>
    <xf numFmtId="1" fontId="0" fillId="13" borderId="26" xfId="0" applyNumberFormat="1" applyFont="1" applyFill="1" applyBorder="1" applyAlignment="1">
      <alignment horizontal="center"/>
    </xf>
    <xf numFmtId="172" fontId="0" fillId="0" borderId="26" xfId="0" applyNumberFormat="1" applyFont="1" applyFill="1" applyBorder="1" applyAlignment="1">
      <alignment horizontal="center"/>
    </xf>
    <xf numFmtId="2" fontId="0" fillId="0" borderId="26" xfId="0" applyNumberFormat="1" applyFont="1" applyFill="1" applyBorder="1" applyAlignment="1">
      <alignment horizontal="center"/>
    </xf>
    <xf numFmtId="0" fontId="9" fillId="12" borderId="26" xfId="0" applyNumberFormat="1" applyFont="1" applyFill="1" applyBorder="1" applyAlignment="1">
      <alignment horizontal="center" vertical="center"/>
    </xf>
    <xf numFmtId="0" fontId="9" fillId="12" borderId="26" xfId="0" applyNumberFormat="1" applyFont="1" applyFill="1" applyBorder="1" applyAlignment="1"/>
    <xf numFmtId="0" fontId="9" fillId="12" borderId="26" xfId="0" applyNumberFormat="1" applyFont="1" applyFill="1" applyBorder="1" applyAlignment="1">
      <alignment horizontal="center"/>
    </xf>
    <xf numFmtId="0" fontId="9" fillId="13" borderId="26" xfId="0" applyNumberFormat="1" applyFont="1" applyFill="1" applyBorder="1" applyAlignment="1">
      <alignment horizontal="center"/>
    </xf>
    <xf numFmtId="1" fontId="9" fillId="13" borderId="26" xfId="0" applyNumberFormat="1" applyFont="1" applyFill="1" applyBorder="1" applyAlignment="1">
      <alignment horizontal="center"/>
    </xf>
    <xf numFmtId="0" fontId="9" fillId="5" borderId="26" xfId="0" applyNumberFormat="1" applyFont="1" applyFill="1" applyBorder="1" applyAlignment="1">
      <alignment horizontal="center"/>
    </xf>
    <xf numFmtId="0" fontId="9" fillId="15" borderId="26" xfId="0" applyNumberFormat="1" applyFont="1" applyFill="1" applyBorder="1" applyAlignment="1">
      <alignment horizontal="center"/>
    </xf>
    <xf numFmtId="0" fontId="5" fillId="0" borderId="9" xfId="3" applyFont="1" applyBorder="1" applyAlignment="1">
      <alignment horizontal="center" vertical="top" wrapText="1"/>
    </xf>
    <xf numFmtId="0" fontId="5" fillId="5" borderId="4" xfId="3" applyFont="1" applyFill="1" applyBorder="1" applyAlignment="1">
      <alignment horizontal="center" vertical="center" wrapText="1"/>
    </xf>
    <xf numFmtId="167" fontId="4" fillId="0" borderId="4" xfId="1" applyNumberFormat="1" applyFont="1" applyBorder="1" applyAlignment="1">
      <alignment horizontal="center" vertical="top" wrapText="1"/>
    </xf>
    <xf numFmtId="1" fontId="4" fillId="0" borderId="5" xfId="3" applyNumberFormat="1" applyFont="1" applyBorder="1" applyAlignment="1">
      <alignment horizontal="right" vertical="top" wrapText="1"/>
    </xf>
    <xf numFmtId="0" fontId="5" fillId="0" borderId="1" xfId="3" applyFont="1" applyBorder="1" applyAlignment="1">
      <alignment horizontal="center" vertical="top" wrapText="1"/>
    </xf>
    <xf numFmtId="0" fontId="5" fillId="0" borderId="26" xfId="3" applyFont="1" applyFill="1" applyBorder="1" applyAlignment="1">
      <alignment vertical="top" wrapText="1"/>
    </xf>
    <xf numFmtId="0" fontId="5" fillId="4" borderId="26" xfId="3" applyFont="1" applyFill="1" applyBorder="1" applyAlignment="1">
      <alignment horizontal="center" vertical="center" wrapText="1"/>
    </xf>
    <xf numFmtId="0" fontId="5" fillId="2" borderId="26" xfId="3" applyFont="1" applyFill="1" applyBorder="1" applyAlignment="1">
      <alignment vertical="top" wrapText="1"/>
    </xf>
    <xf numFmtId="0" fontId="0" fillId="0" borderId="26" xfId="0" applyBorder="1"/>
    <xf numFmtId="0" fontId="4" fillId="8" borderId="26" xfId="3" applyFont="1" applyFill="1" applyBorder="1" applyAlignment="1">
      <alignment vertical="top" wrapText="1"/>
    </xf>
    <xf numFmtId="0" fontId="5" fillId="2" borderId="26" xfId="3" applyFont="1" applyFill="1" applyBorder="1" applyAlignment="1">
      <alignment vertical="center" wrapText="1"/>
    </xf>
    <xf numFmtId="9" fontId="0" fillId="0" borderId="26" xfId="0" applyNumberFormat="1" applyBorder="1"/>
    <xf numFmtId="0" fontId="4" fillId="0" borderId="26" xfId="3" applyFont="1" applyFill="1" applyBorder="1" applyAlignment="1">
      <alignment vertical="top" wrapText="1"/>
    </xf>
    <xf numFmtId="10" fontId="0" fillId="0" borderId="26" xfId="0" applyNumberFormat="1" applyBorder="1"/>
    <xf numFmtId="10" fontId="0" fillId="0" borderId="26" xfId="2" applyNumberFormat="1" applyFont="1" applyBorder="1"/>
    <xf numFmtId="0" fontId="0" fillId="0" borderId="26" xfId="0" applyNumberFormat="1" applyFont="1" applyFill="1" applyBorder="1" applyAlignment="1">
      <alignment horizontal="center"/>
    </xf>
    <xf numFmtId="0" fontId="9" fillId="0" borderId="26" xfId="0" applyNumberFormat="1" applyFont="1" applyFill="1" applyBorder="1" applyAlignment="1">
      <alignment horizontal="center"/>
    </xf>
    <xf numFmtId="1" fontId="4" fillId="0" borderId="3" xfId="3" applyNumberFormat="1" applyFont="1" applyBorder="1" applyAlignment="1">
      <alignment horizontal="right" vertical="top" wrapText="1"/>
    </xf>
    <xf numFmtId="0" fontId="4" fillId="0" borderId="16" xfId="3" applyFont="1" applyFill="1" applyBorder="1" applyAlignment="1">
      <alignment horizontal="right" vertical="center" wrapText="1"/>
    </xf>
    <xf numFmtId="9" fontId="4" fillId="0" borderId="1" xfId="2" applyFont="1" applyFill="1" applyBorder="1" applyAlignment="1">
      <alignment horizontal="right" vertical="center" wrapText="1"/>
    </xf>
    <xf numFmtId="0" fontId="12" fillId="0" borderId="0" xfId="4" applyFont="1"/>
    <xf numFmtId="0" fontId="13" fillId="0" borderId="2" xfId="4" applyFont="1" applyBorder="1"/>
    <xf numFmtId="0" fontId="11" fillId="0" borderId="0" xfId="4" applyFont="1" applyBorder="1"/>
    <xf numFmtId="0" fontId="12" fillId="0" borderId="12" xfId="4" applyFont="1" applyBorder="1"/>
    <xf numFmtId="0" fontId="12" fillId="0" borderId="2" xfId="4" applyFont="1" applyBorder="1"/>
    <xf numFmtId="171" fontId="12" fillId="0" borderId="0" xfId="4" applyNumberFormat="1" applyFont="1" applyBorder="1"/>
    <xf numFmtId="9" fontId="12" fillId="0" borderId="12" xfId="5" applyFont="1" applyBorder="1"/>
    <xf numFmtId="0" fontId="12" fillId="0" borderId="16" xfId="4" applyFont="1" applyBorder="1"/>
    <xf numFmtId="171" fontId="12" fillId="0" borderId="7" xfId="4" applyNumberFormat="1" applyFont="1" applyBorder="1"/>
    <xf numFmtId="0" fontId="12" fillId="0" borderId="0" xfId="4" applyFont="1" applyBorder="1"/>
    <xf numFmtId="9" fontId="12" fillId="0" borderId="0" xfId="5" applyFont="1" applyBorder="1"/>
    <xf numFmtId="171" fontId="11" fillId="0" borderId="0" xfId="4" applyNumberFormat="1" applyFont="1" applyBorder="1" applyAlignment="1">
      <alignment horizontal="center"/>
    </xf>
    <xf numFmtId="171" fontId="11" fillId="0" borderId="12" xfId="4" applyNumberFormat="1" applyFont="1" applyBorder="1" applyAlignment="1">
      <alignment horizontal="center"/>
    </xf>
    <xf numFmtId="0" fontId="11" fillId="0" borderId="16" xfId="4" applyFont="1" applyBorder="1"/>
    <xf numFmtId="9" fontId="11" fillId="0" borderId="7" xfId="5" applyFont="1" applyBorder="1"/>
    <xf numFmtId="9" fontId="11" fillId="0" borderId="11" xfId="5" applyFont="1" applyBorder="1"/>
    <xf numFmtId="0" fontId="11" fillId="0" borderId="0" xfId="4" applyFont="1"/>
    <xf numFmtId="0" fontId="14" fillId="0" borderId="0" xfId="4" applyFont="1" applyBorder="1"/>
    <xf numFmtId="9" fontId="11" fillId="0" borderId="0" xfId="5" applyFont="1" applyBorder="1"/>
    <xf numFmtId="171" fontId="12" fillId="0" borderId="0" xfId="4" applyNumberFormat="1" applyFont="1"/>
    <xf numFmtId="167" fontId="15" fillId="0" borderId="12" xfId="6" applyNumberFormat="1" applyFont="1" applyBorder="1"/>
    <xf numFmtId="167" fontId="12" fillId="0" borderId="0" xfId="4" applyNumberFormat="1" applyFont="1"/>
    <xf numFmtId="167" fontId="12" fillId="0" borderId="12" xfId="4" applyNumberFormat="1" applyFont="1" applyBorder="1"/>
    <xf numFmtId="167" fontId="11" fillId="0" borderId="7" xfId="4" applyNumberFormat="1" applyFont="1" applyBorder="1"/>
    <xf numFmtId="167" fontId="11" fillId="0" borderId="11" xfId="4" applyNumberFormat="1" applyFont="1" applyBorder="1"/>
    <xf numFmtId="171" fontId="16" fillId="0" borderId="0" xfId="4" applyNumberFormat="1" applyFont="1" applyBorder="1"/>
    <xf numFmtId="0" fontId="16" fillId="0" borderId="0" xfId="4" applyFont="1"/>
    <xf numFmtId="167" fontId="12" fillId="0" borderId="7" xfId="4" applyNumberFormat="1" applyFont="1" applyBorder="1"/>
    <xf numFmtId="0" fontId="11" fillId="16" borderId="17" xfId="4" applyFont="1" applyFill="1" applyBorder="1"/>
    <xf numFmtId="9" fontId="17" fillId="16" borderId="3" xfId="5" applyFont="1" applyFill="1" applyBorder="1"/>
    <xf numFmtId="9" fontId="17" fillId="16" borderId="10" xfId="5" applyFont="1" applyFill="1" applyBorder="1"/>
    <xf numFmtId="0" fontId="11" fillId="16" borderId="2" xfId="4" applyFont="1" applyFill="1" applyBorder="1"/>
    <xf numFmtId="167" fontId="11" fillId="16" borderId="0" xfId="4" applyNumberFormat="1" applyFont="1" applyFill="1" applyBorder="1"/>
    <xf numFmtId="167" fontId="11" fillId="16" borderId="12" xfId="4" applyNumberFormat="1" applyFont="1" applyFill="1" applyBorder="1"/>
    <xf numFmtId="0" fontId="11" fillId="16" borderId="16" xfId="4" applyFont="1" applyFill="1" applyBorder="1"/>
    <xf numFmtId="167" fontId="11" fillId="16" borderId="7" xfId="4" applyNumberFormat="1" applyFont="1" applyFill="1" applyBorder="1"/>
    <xf numFmtId="167" fontId="11" fillId="16" borderId="11" xfId="4" applyNumberFormat="1" applyFont="1" applyFill="1" applyBorder="1"/>
    <xf numFmtId="0" fontId="4" fillId="0" borderId="13" xfId="3" applyFont="1" applyBorder="1" applyAlignment="1">
      <alignment horizontal="center" vertical="top" wrapText="1"/>
    </xf>
    <xf numFmtId="166" fontId="4" fillId="0" borderId="11" xfId="3" applyNumberFormat="1" applyFont="1" applyBorder="1" applyAlignment="1">
      <alignment vertical="top" wrapText="1"/>
    </xf>
    <xf numFmtId="167" fontId="4" fillId="0" borderId="21" xfId="1" applyNumberFormat="1" applyFont="1" applyFill="1" applyBorder="1" applyAlignment="1">
      <alignment horizontal="right" vertical="top" wrapText="1"/>
    </xf>
    <xf numFmtId="1" fontId="4" fillId="17" borderId="11" xfId="3" applyNumberFormat="1" applyFont="1" applyFill="1" applyBorder="1" applyAlignment="1">
      <alignment vertical="top" wrapText="1"/>
    </xf>
    <xf numFmtId="1" fontId="4" fillId="17" borderId="29" xfId="3" applyNumberFormat="1" applyFont="1" applyFill="1" applyBorder="1" applyAlignment="1">
      <alignment vertical="top" wrapText="1"/>
    </xf>
    <xf numFmtId="1" fontId="4" fillId="17" borderId="31" xfId="3" applyNumberFormat="1" applyFont="1" applyFill="1" applyBorder="1" applyAlignment="1">
      <alignment vertical="top" wrapText="1"/>
    </xf>
    <xf numFmtId="0" fontId="4" fillId="17" borderId="1" xfId="3" applyFont="1" applyFill="1" applyBorder="1" applyAlignment="1">
      <alignment vertical="top" wrapText="1"/>
    </xf>
    <xf numFmtId="0" fontId="4" fillId="17" borderId="21" xfId="3" applyFont="1" applyFill="1" applyBorder="1" applyAlignment="1">
      <alignment vertical="top" wrapText="1"/>
    </xf>
    <xf numFmtId="1" fontId="4" fillId="17" borderId="21" xfId="3" applyNumberFormat="1" applyFont="1" applyFill="1" applyBorder="1" applyAlignment="1">
      <alignment vertical="top" wrapText="1"/>
    </xf>
    <xf numFmtId="0" fontId="4" fillId="17" borderId="9" xfId="3" applyFont="1" applyFill="1" applyBorder="1" applyAlignment="1">
      <alignment vertical="top" wrapText="1"/>
    </xf>
    <xf numFmtId="1" fontId="4" fillId="0" borderId="10" xfId="3" applyNumberFormat="1" applyFont="1" applyFill="1" applyBorder="1" applyAlignment="1">
      <alignment horizontal="right" vertical="top" wrapText="1"/>
    </xf>
    <xf numFmtId="1" fontId="4" fillId="12" borderId="21" xfId="3" applyNumberFormat="1" applyFont="1" applyFill="1" applyBorder="1" applyAlignment="1">
      <alignment vertical="top" wrapText="1"/>
    </xf>
    <xf numFmtId="0" fontId="4" fillId="17" borderId="19" xfId="3" applyFont="1" applyFill="1" applyBorder="1" applyAlignment="1">
      <alignment horizontal="right" vertical="top" wrapText="1"/>
    </xf>
    <xf numFmtId="0" fontId="4" fillId="12" borderId="17" xfId="3" applyFont="1" applyFill="1" applyBorder="1" applyAlignment="1">
      <alignment vertical="top" wrapText="1"/>
    </xf>
    <xf numFmtId="0" fontId="4" fillId="12" borderId="3" xfId="3" applyFont="1" applyFill="1" applyBorder="1" applyAlignment="1">
      <alignment vertical="top" wrapText="1"/>
    </xf>
    <xf numFmtId="0" fontId="4" fillId="12" borderId="10" xfId="3" applyFont="1" applyFill="1" applyBorder="1" applyAlignment="1">
      <alignment vertical="top" wrapText="1"/>
    </xf>
    <xf numFmtId="0" fontId="4" fillId="12" borderId="2" xfId="3" applyFont="1" applyFill="1" applyBorder="1" applyAlignment="1">
      <alignment vertical="top" wrapText="1"/>
    </xf>
    <xf numFmtId="0" fontId="4" fillId="12" borderId="0" xfId="3" applyFont="1" applyFill="1" applyBorder="1" applyAlignment="1">
      <alignment vertical="top" wrapText="1"/>
    </xf>
    <xf numFmtId="0" fontId="4" fillId="12" borderId="12" xfId="3" applyFont="1" applyFill="1" applyBorder="1" applyAlignment="1">
      <alignment vertical="top" wrapText="1"/>
    </xf>
    <xf numFmtId="0" fontId="4" fillId="12" borderId="16" xfId="3" applyFont="1" applyFill="1" applyBorder="1" applyAlignment="1">
      <alignment vertical="top" wrapText="1"/>
    </xf>
    <xf numFmtId="0" fontId="4" fillId="12" borderId="7" xfId="3" applyFont="1" applyFill="1" applyBorder="1" applyAlignment="1">
      <alignment vertical="top" wrapText="1"/>
    </xf>
    <xf numFmtId="0" fontId="4" fillId="12" borderId="11" xfId="3" applyFont="1" applyFill="1" applyBorder="1" applyAlignment="1">
      <alignment vertical="top" wrapText="1"/>
    </xf>
    <xf numFmtId="0" fontId="4" fillId="0" borderId="14" xfId="3" applyFont="1" applyFill="1" applyBorder="1" applyAlignment="1">
      <alignment horizontal="right" vertical="top" wrapText="1"/>
    </xf>
    <xf numFmtId="0" fontId="12" fillId="0" borderId="0" xfId="4" applyFont="1" applyBorder="1" applyAlignment="1">
      <alignment vertical="top" wrapText="1"/>
    </xf>
    <xf numFmtId="3" fontId="0" fillId="0" borderId="0" xfId="0" applyNumberFormat="1"/>
    <xf numFmtId="1" fontId="12" fillId="0" borderId="0" xfId="4" applyNumberFormat="1" applyFont="1" applyBorder="1"/>
    <xf numFmtId="0" fontId="11" fillId="0" borderId="0" xfId="4" applyFont="1" applyBorder="1" applyAlignment="1">
      <alignment vertical="center" wrapText="1"/>
    </xf>
    <xf numFmtId="167" fontId="15" fillId="0" borderId="0" xfId="6" applyNumberFormat="1" applyFont="1" applyBorder="1"/>
    <xf numFmtId="167" fontId="12" fillId="0" borderId="0" xfId="4" applyNumberFormat="1" applyFont="1" applyBorder="1" applyAlignment="1">
      <alignment horizontal="left" indent="4"/>
    </xf>
    <xf numFmtId="9" fontId="4" fillId="0" borderId="26" xfId="2" applyFont="1" applyFill="1" applyBorder="1" applyAlignment="1">
      <alignment horizontal="right" vertical="top" wrapText="1"/>
    </xf>
    <xf numFmtId="0" fontId="4" fillId="17" borderId="21" xfId="3" applyNumberFormat="1" applyFont="1" applyFill="1" applyBorder="1" applyAlignment="1">
      <alignment vertical="top" wrapText="1"/>
    </xf>
    <xf numFmtId="9" fontId="4" fillId="17" borderId="19" xfId="3" applyNumberFormat="1" applyFont="1" applyFill="1" applyBorder="1" applyAlignment="1">
      <alignment vertical="top" wrapText="1"/>
    </xf>
    <xf numFmtId="0" fontId="11" fillId="0" borderId="10" xfId="4" applyFont="1" applyBorder="1" applyAlignment="1">
      <alignment vertical="center" wrapText="1"/>
    </xf>
    <xf numFmtId="0" fontId="12" fillId="0" borderId="0" xfId="4" applyFont="1"/>
    <xf numFmtId="3" fontId="12" fillId="0" borderId="0" xfId="4" applyNumberFormat="1" applyFont="1" applyBorder="1"/>
    <xf numFmtId="0" fontId="13" fillId="0" borderId="0" xfId="4" applyFont="1" applyBorder="1"/>
    <xf numFmtId="167" fontId="12" fillId="0" borderId="0" xfId="4" applyNumberFormat="1" applyFont="1" applyBorder="1"/>
    <xf numFmtId="165" fontId="12" fillId="0" borderId="0" xfId="4" applyNumberFormat="1" applyFont="1" applyBorder="1"/>
    <xf numFmtId="167" fontId="11" fillId="0" borderId="0" xfId="4" applyNumberFormat="1" applyFont="1" applyBorder="1"/>
    <xf numFmtId="0" fontId="12" fillId="0" borderId="17" xfId="4" applyFont="1" applyBorder="1"/>
    <xf numFmtId="0" fontId="12" fillId="0" borderId="3" xfId="4" applyFont="1" applyBorder="1"/>
    <xf numFmtId="0" fontId="12" fillId="0" borderId="10" xfId="4" applyFont="1" applyBorder="1"/>
    <xf numFmtId="171" fontId="12" fillId="0" borderId="12" xfId="4" applyNumberFormat="1" applyFont="1" applyBorder="1"/>
    <xf numFmtId="3" fontId="12" fillId="0" borderId="12" xfId="4" applyNumberFormat="1" applyFont="1" applyBorder="1"/>
    <xf numFmtId="1" fontId="12" fillId="0" borderId="12" xfId="4" applyNumberFormat="1" applyFont="1" applyBorder="1"/>
    <xf numFmtId="9" fontId="17" fillId="16" borderId="0" xfId="5" applyFont="1" applyFill="1" applyBorder="1"/>
    <xf numFmtId="167" fontId="12" fillId="0" borderId="7" xfId="4" applyNumberFormat="1" applyFont="1" applyBorder="1" applyAlignment="1">
      <alignment horizontal="left" indent="4"/>
    </xf>
    <xf numFmtId="167" fontId="12" fillId="0" borderId="11" xfId="4" applyNumberFormat="1" applyFont="1" applyBorder="1"/>
    <xf numFmtId="0" fontId="11" fillId="0" borderId="2" xfId="4" applyFont="1" applyBorder="1"/>
    <xf numFmtId="167" fontId="11" fillId="0" borderId="12" xfId="4" applyNumberFormat="1" applyFont="1" applyBorder="1"/>
    <xf numFmtId="9" fontId="17" fillId="16" borderId="12" xfId="5" applyFont="1" applyFill="1" applyBorder="1"/>
    <xf numFmtId="0" fontId="12" fillId="0" borderId="14" xfId="4" applyFont="1" applyBorder="1"/>
    <xf numFmtId="167" fontId="11" fillId="0" borderId="14" xfId="4" applyNumberFormat="1" applyFont="1" applyBorder="1"/>
    <xf numFmtId="9" fontId="17" fillId="16" borderId="9" xfId="5" applyFont="1" applyFill="1" applyBorder="1"/>
    <xf numFmtId="9" fontId="12" fillId="0" borderId="14" xfId="5" applyFont="1" applyBorder="1"/>
    <xf numFmtId="0" fontId="1" fillId="0" borderId="0" xfId="143"/>
    <xf numFmtId="0" fontId="5" fillId="42" borderId="76" xfId="143" applyFont="1" applyFill="1" applyBorder="1" applyAlignment="1">
      <alignment horizontal="center" vertical="center"/>
    </xf>
    <xf numFmtId="0" fontId="1" fillId="0" borderId="0" xfId="143" applyFont="1" applyAlignment="1">
      <alignment vertical="top"/>
    </xf>
    <xf numFmtId="1" fontId="1" fillId="0" borderId="0" xfId="143" applyNumberFormat="1" applyFont="1" applyAlignment="1">
      <alignment vertical="top"/>
    </xf>
    <xf numFmtId="0" fontId="53" fillId="0" borderId="0" xfId="143" applyFont="1" applyAlignment="1">
      <alignment vertical="top"/>
    </xf>
    <xf numFmtId="0" fontId="47" fillId="0" borderId="18" xfId="143" applyFont="1" applyBorder="1" applyAlignment="1">
      <alignment horizontal="left" vertical="top" wrapText="1"/>
    </xf>
    <xf numFmtId="0" fontId="48" fillId="0" borderId="18" xfId="143" applyFont="1" applyBorder="1" applyAlignment="1">
      <alignment vertical="center" wrapText="1"/>
    </xf>
    <xf numFmtId="0" fontId="47" fillId="0" borderId="8" xfId="143" applyFont="1" applyBorder="1" applyAlignment="1">
      <alignment horizontal="left" vertical="top" wrapText="1"/>
    </xf>
    <xf numFmtId="0" fontId="41" fillId="0" borderId="0" xfId="143" applyFont="1" applyBorder="1" applyAlignment="1">
      <alignment vertical="top" wrapText="1"/>
    </xf>
    <xf numFmtId="0" fontId="41" fillId="0" borderId="0" xfId="143" applyFont="1" applyBorder="1" applyAlignment="1">
      <alignment horizontal="left" vertical="top" wrapText="1"/>
    </xf>
    <xf numFmtId="9" fontId="41" fillId="0" borderId="0" xfId="143" applyNumberFormat="1" applyFont="1" applyBorder="1" applyAlignment="1">
      <alignment vertical="top" wrapText="1"/>
    </xf>
    <xf numFmtId="9" fontId="41" fillId="0" borderId="0" xfId="143" applyNumberFormat="1" applyFont="1" applyBorder="1" applyAlignment="1">
      <alignment horizontal="left" vertical="top" wrapText="1"/>
    </xf>
    <xf numFmtId="3" fontId="41" fillId="0" borderId="0" xfId="143" applyNumberFormat="1" applyFont="1" applyBorder="1" applyAlignment="1">
      <alignment vertical="top"/>
    </xf>
    <xf numFmtId="167" fontId="41" fillId="0" borderId="0" xfId="1" applyNumberFormat="1" applyFont="1" applyBorder="1" applyAlignment="1">
      <alignment horizontal="left" vertical="top"/>
    </xf>
    <xf numFmtId="0" fontId="55" fillId="0" borderId="0" xfId="143" applyFont="1" applyAlignment="1">
      <alignment vertical="center"/>
    </xf>
    <xf numFmtId="0" fontId="1" fillId="0" borderId="0" xfId="3" applyFont="1" applyFill="1" applyAlignment="1">
      <alignment vertical="center" wrapText="1"/>
    </xf>
    <xf numFmtId="0" fontId="1" fillId="0" borderId="0" xfId="3" applyFont="1" applyFill="1" applyBorder="1" applyAlignment="1">
      <alignment vertical="center" wrapText="1"/>
    </xf>
    <xf numFmtId="0" fontId="1" fillId="0" borderId="0" xfId="143"/>
    <xf numFmtId="0" fontId="57" fillId="0" borderId="1" xfId="143" applyFont="1" applyBorder="1" applyAlignment="1">
      <alignment vertical="center" wrapText="1"/>
    </xf>
    <xf numFmtId="0" fontId="57" fillId="44" borderId="4" xfId="143" applyFont="1" applyFill="1" applyBorder="1" applyAlignment="1">
      <alignment vertical="center" wrapText="1"/>
    </xf>
    <xf numFmtId="0" fontId="57" fillId="45" borderId="4" xfId="143" applyFont="1" applyFill="1" applyBorder="1" applyAlignment="1">
      <alignment vertical="center" wrapText="1"/>
    </xf>
    <xf numFmtId="0" fontId="57" fillId="46" borderId="4" xfId="143" applyFont="1" applyFill="1" applyBorder="1" applyAlignment="1">
      <alignment vertical="center" wrapText="1"/>
    </xf>
    <xf numFmtId="0" fontId="57" fillId="0" borderId="4" xfId="143" applyFont="1" applyBorder="1" applyAlignment="1">
      <alignment horizontal="center" vertical="center" wrapText="1"/>
    </xf>
    <xf numFmtId="0" fontId="58" fillId="0" borderId="71" xfId="143" applyFont="1" applyBorder="1" applyAlignment="1">
      <alignment vertical="center" wrapText="1"/>
    </xf>
    <xf numFmtId="0" fontId="58" fillId="44" borderId="70" xfId="143" applyFont="1" applyFill="1" applyBorder="1" applyAlignment="1">
      <alignment vertical="center" wrapText="1"/>
    </xf>
    <xf numFmtId="0" fontId="58" fillId="45" borderId="70" xfId="143" applyFont="1" applyFill="1" applyBorder="1" applyAlignment="1">
      <alignment vertical="center" wrapText="1"/>
    </xf>
    <xf numFmtId="0" fontId="58" fillId="46" borderId="70" xfId="143" applyFont="1" applyFill="1" applyBorder="1" applyAlignment="1">
      <alignment vertical="center" wrapText="1"/>
    </xf>
    <xf numFmtId="0" fontId="58" fillId="0" borderId="70" xfId="143" applyFont="1" applyBorder="1" applyAlignment="1">
      <alignment vertical="center" wrapText="1"/>
    </xf>
    <xf numFmtId="0" fontId="58" fillId="44" borderId="12" xfId="143" applyFont="1" applyFill="1" applyBorder="1" applyAlignment="1">
      <alignment vertical="center" wrapText="1"/>
    </xf>
    <xf numFmtId="0" fontId="58" fillId="45" borderId="12" xfId="143" applyFont="1" applyFill="1" applyBorder="1" applyAlignment="1">
      <alignment vertical="center" wrapText="1"/>
    </xf>
    <xf numFmtId="0" fontId="1" fillId="45" borderId="70" xfId="143" applyFill="1" applyBorder="1" applyAlignment="1">
      <alignment vertical="top" wrapText="1"/>
    </xf>
    <xf numFmtId="0" fontId="58" fillId="46" borderId="12" xfId="143" applyFont="1" applyFill="1" applyBorder="1" applyAlignment="1">
      <alignment vertical="center" wrapText="1"/>
    </xf>
    <xf numFmtId="0" fontId="1" fillId="46" borderId="70" xfId="143" applyFill="1" applyBorder="1" applyAlignment="1">
      <alignment vertical="top" wrapText="1"/>
    </xf>
    <xf numFmtId="0" fontId="58" fillId="18" borderId="71" xfId="143" applyFont="1" applyFill="1" applyBorder="1" applyAlignment="1">
      <alignment vertical="center" wrapText="1"/>
    </xf>
    <xf numFmtId="0" fontId="58" fillId="18" borderId="70" xfId="143" applyFont="1" applyFill="1" applyBorder="1" applyAlignment="1">
      <alignment vertical="center" wrapText="1"/>
    </xf>
    <xf numFmtId="0" fontId="56" fillId="0" borderId="0" xfId="143" applyFont="1" applyAlignment="1">
      <alignment horizontal="left" vertical="center" indent="2"/>
    </xf>
    <xf numFmtId="0" fontId="1" fillId="0" borderId="0" xfId="143"/>
    <xf numFmtId="0" fontId="1" fillId="0" borderId="0" xfId="143" applyFont="1"/>
    <xf numFmtId="0" fontId="1" fillId="0" borderId="0" xfId="143" applyAlignment="1">
      <alignment wrapText="1"/>
    </xf>
    <xf numFmtId="0" fontId="42" fillId="0" borderId="0" xfId="143" applyFont="1"/>
    <xf numFmtId="0" fontId="1" fillId="0" borderId="0" xfId="143" applyFont="1" applyAlignment="1">
      <alignment wrapText="1"/>
    </xf>
    <xf numFmtId="0" fontId="1" fillId="0" borderId="0" xfId="143" applyFont="1" applyAlignment="1">
      <alignment vertical="center"/>
    </xf>
    <xf numFmtId="0" fontId="1" fillId="0" borderId="0" xfId="143" applyFont="1" applyAlignment="1">
      <alignment horizontal="left" vertical="center" indent="4"/>
    </xf>
    <xf numFmtId="0" fontId="1" fillId="0" borderId="0" xfId="143" applyFont="1" applyAlignment="1">
      <alignment horizontal="justify" vertical="center"/>
    </xf>
    <xf numFmtId="0" fontId="42" fillId="0" borderId="0" xfId="143" applyFont="1" applyAlignment="1">
      <alignment wrapText="1"/>
    </xf>
    <xf numFmtId="9" fontId="0" fillId="0" borderId="26" xfId="2" applyFont="1" applyBorder="1"/>
    <xf numFmtId="0" fontId="4" fillId="0" borderId="76" xfId="143" applyFont="1" applyFill="1" applyBorder="1" applyAlignment="1">
      <alignment vertical="top" wrapText="1"/>
    </xf>
    <xf numFmtId="0" fontId="4" fillId="0" borderId="76" xfId="143" applyFont="1" applyFill="1" applyBorder="1" applyAlignment="1">
      <alignment horizontal="left" vertical="top" wrapText="1"/>
    </xf>
    <xf numFmtId="0" fontId="4" fillId="0" borderId="76" xfId="143" applyFont="1" applyFill="1" applyBorder="1" applyAlignment="1">
      <alignment horizontal="center" vertical="top" wrapText="1"/>
    </xf>
    <xf numFmtId="0" fontId="4" fillId="0" borderId="76" xfId="3" applyFont="1" applyFill="1" applyBorder="1" applyAlignment="1">
      <alignment vertical="top" wrapText="1"/>
    </xf>
    <xf numFmtId="0" fontId="1" fillId="0" borderId="0" xfId="143" applyFont="1" applyFill="1" applyAlignment="1">
      <alignment vertical="top"/>
    </xf>
    <xf numFmtId="3" fontId="4" fillId="0" borderId="76" xfId="143" applyNumberFormat="1" applyFont="1" applyFill="1" applyBorder="1" applyAlignment="1">
      <alignment vertical="top" wrapText="1"/>
    </xf>
    <xf numFmtId="3" fontId="4" fillId="0" borderId="76" xfId="143" applyNumberFormat="1" applyFont="1" applyFill="1" applyBorder="1" applyAlignment="1">
      <alignment horizontal="left" vertical="top"/>
    </xf>
    <xf numFmtId="3" fontId="4" fillId="0" borderId="76" xfId="143" applyNumberFormat="1" applyFont="1" applyFill="1" applyBorder="1" applyAlignment="1">
      <alignment horizontal="left" vertical="top" wrapText="1"/>
    </xf>
    <xf numFmtId="0" fontId="4" fillId="0" borderId="0" xfId="143" applyFont="1" applyFill="1" applyAlignment="1">
      <alignment vertical="top" wrapText="1"/>
    </xf>
    <xf numFmtId="3" fontId="4" fillId="0" borderId="76" xfId="143" applyNumberFormat="1" applyFont="1" applyFill="1" applyBorder="1" applyAlignment="1">
      <alignment vertical="top"/>
    </xf>
    <xf numFmtId="3" fontId="4" fillId="0" borderId="67" xfId="143" applyNumberFormat="1" applyFont="1" applyFill="1" applyBorder="1" applyAlignment="1">
      <alignment horizontal="left" vertical="top" wrapText="1"/>
    </xf>
    <xf numFmtId="3" fontId="4" fillId="0" borderId="75" xfId="143" applyNumberFormat="1" applyFont="1" applyFill="1" applyBorder="1" applyAlignment="1">
      <alignment horizontal="left" vertical="top" wrapText="1"/>
    </xf>
    <xf numFmtId="0" fontId="1" fillId="0" borderId="0" xfId="143" applyFont="1" applyFill="1" applyAlignment="1">
      <alignment vertical="top" wrapText="1"/>
    </xf>
    <xf numFmtId="0" fontId="4" fillId="0" borderId="76" xfId="143" applyFont="1" applyFill="1" applyBorder="1" applyAlignment="1">
      <alignment horizontal="left" vertical="top"/>
    </xf>
    <xf numFmtId="167" fontId="4" fillId="0" borderId="76" xfId="1" applyNumberFormat="1" applyFont="1" applyFill="1" applyBorder="1" applyAlignment="1">
      <alignment horizontal="left" vertical="top" wrapText="1"/>
    </xf>
    <xf numFmtId="167" fontId="4" fillId="0" borderId="76" xfId="1" applyNumberFormat="1" applyFont="1" applyFill="1" applyBorder="1" applyAlignment="1">
      <alignment vertical="top" wrapText="1"/>
    </xf>
    <xf numFmtId="167" fontId="4" fillId="0" borderId="76" xfId="1" applyNumberFormat="1" applyFont="1" applyFill="1" applyBorder="1" applyAlignment="1">
      <alignment horizontal="left" vertical="top"/>
    </xf>
    <xf numFmtId="9" fontId="4" fillId="0" borderId="76" xfId="143" applyNumberFormat="1" applyFont="1" applyFill="1" applyBorder="1" applyAlignment="1">
      <alignment vertical="top" wrapText="1"/>
    </xf>
    <xf numFmtId="0" fontId="4" fillId="0" borderId="76" xfId="143" applyFont="1" applyFill="1" applyBorder="1" applyAlignment="1">
      <alignment vertical="top"/>
    </xf>
    <xf numFmtId="1" fontId="4" fillId="0" borderId="76" xfId="143" applyNumberFormat="1" applyFont="1" applyFill="1" applyBorder="1" applyAlignment="1">
      <alignment vertical="top"/>
    </xf>
    <xf numFmtId="1" fontId="4" fillId="0" borderId="76" xfId="143" applyNumberFormat="1" applyFont="1" applyFill="1" applyBorder="1" applyAlignment="1">
      <alignment vertical="top" wrapText="1"/>
    </xf>
    <xf numFmtId="0" fontId="0" fillId="0" borderId="26" xfId="0" applyNumberFormat="1" applyFont="1" applyFill="1" applyBorder="1" applyAlignment="1">
      <alignment horizontal="center"/>
    </xf>
    <xf numFmtId="0" fontId="9" fillId="0" borderId="26" xfId="0" applyNumberFormat="1" applyFont="1" applyFill="1" applyBorder="1" applyAlignment="1">
      <alignment horizontal="center"/>
    </xf>
    <xf numFmtId="0" fontId="9" fillId="5" borderId="26" xfId="0" applyNumberFormat="1" applyFont="1" applyFill="1" applyBorder="1" applyAlignment="1">
      <alignment horizontal="center"/>
    </xf>
    <xf numFmtId="0" fontId="4" fillId="0" borderId="0" xfId="3" applyFont="1" applyBorder="1" applyAlignment="1">
      <alignment horizontal="right" vertical="top" wrapText="1"/>
    </xf>
    <xf numFmtId="1" fontId="0" fillId="0" borderId="76" xfId="0" applyNumberFormat="1" applyFont="1" applyFill="1" applyBorder="1" applyAlignment="1">
      <alignment horizontal="left" indent="2"/>
    </xf>
    <xf numFmtId="0" fontId="0" fillId="0" borderId="76" xfId="0" applyNumberFormat="1" applyFont="1" applyFill="1" applyBorder="1" applyAlignment="1">
      <alignment horizontal="center"/>
    </xf>
    <xf numFmtId="0" fontId="0" fillId="0" borderId="76" xfId="0" applyNumberFormat="1" applyFont="1" applyFill="1" applyBorder="1" applyAlignment="1"/>
    <xf numFmtId="0" fontId="9" fillId="0" borderId="76" xfId="0" applyNumberFormat="1" applyFont="1" applyFill="1" applyBorder="1" applyAlignment="1">
      <alignment horizontal="center"/>
    </xf>
    <xf numFmtId="1" fontId="9" fillId="12" borderId="76" xfId="0" applyNumberFormat="1" applyFont="1" applyFill="1" applyBorder="1" applyAlignment="1">
      <alignment horizontal="center"/>
    </xf>
    <xf numFmtId="0" fontId="0" fillId="0" borderId="82" xfId="0" applyNumberFormat="1" applyFont="1" applyFill="1" applyBorder="1" applyAlignment="1">
      <alignment horizontal="center"/>
    </xf>
    <xf numFmtId="0" fontId="4" fillId="8" borderId="76" xfId="3" applyFont="1" applyFill="1" applyBorder="1" applyAlignment="1">
      <alignment vertical="top" wrapText="1"/>
    </xf>
    <xf numFmtId="9" fontId="4" fillId="0" borderId="76" xfId="2" applyFont="1" applyFill="1" applyBorder="1" applyAlignment="1">
      <alignment vertical="top" wrapText="1"/>
    </xf>
    <xf numFmtId="172" fontId="0" fillId="0" borderId="76" xfId="0" applyNumberFormat="1" applyFont="1" applyFill="1" applyBorder="1" applyAlignment="1">
      <alignment horizontal="center"/>
    </xf>
    <xf numFmtId="0" fontId="0" fillId="0" borderId="84" xfId="0" applyNumberFormat="1" applyFont="1" applyFill="1" applyBorder="1" applyAlignment="1">
      <alignment horizontal="center"/>
    </xf>
    <xf numFmtId="0" fontId="0" fillId="0" borderId="79" xfId="0" applyNumberFormat="1" applyFont="1" applyFill="1" applyBorder="1" applyAlignment="1">
      <alignment horizontal="center"/>
    </xf>
    <xf numFmtId="0" fontId="0" fillId="0" borderId="78" xfId="0" applyNumberFormat="1" applyFont="1" applyFill="1" applyBorder="1" applyAlignment="1">
      <alignment horizontal="center"/>
    </xf>
    <xf numFmtId="0" fontId="0" fillId="0" borderId="67" xfId="0" applyNumberFormat="1" applyFont="1" applyFill="1" applyBorder="1" applyAlignment="1">
      <alignment horizontal="center"/>
    </xf>
    <xf numFmtId="0" fontId="61" fillId="0" borderId="72" xfId="3140" quotePrefix="1" applyFont="1" applyFill="1" applyBorder="1" applyAlignment="1">
      <alignment vertical="top"/>
    </xf>
    <xf numFmtId="0" fontId="61" fillId="0" borderId="76" xfId="3140" quotePrefix="1" applyFont="1" applyFill="1" applyBorder="1" applyAlignment="1">
      <alignment vertical="top"/>
    </xf>
    <xf numFmtId="0" fontId="1" fillId="0" borderId="0" xfId="143"/>
    <xf numFmtId="0" fontId="42" fillId="0" borderId="0" xfId="143" applyFont="1"/>
    <xf numFmtId="0" fontId="42" fillId="47" borderId="4" xfId="143" applyFont="1" applyFill="1" applyBorder="1" applyAlignment="1">
      <alignment horizontal="center" vertical="center" wrapText="1"/>
    </xf>
    <xf numFmtId="0" fontId="63" fillId="43" borderId="70" xfId="143" applyFont="1" applyFill="1" applyBorder="1" applyAlignment="1">
      <alignment vertical="center"/>
    </xf>
    <xf numFmtId="0" fontId="63" fillId="48" borderId="70" xfId="143" applyFont="1" applyFill="1" applyBorder="1" applyAlignment="1">
      <alignment vertical="center"/>
    </xf>
    <xf numFmtId="0" fontId="63" fillId="47" borderId="70" xfId="143" applyFont="1" applyFill="1" applyBorder="1" applyAlignment="1">
      <alignment horizontal="center" vertical="center" wrapText="1"/>
    </xf>
    <xf numFmtId="0" fontId="63" fillId="43" borderId="70" xfId="143" applyFont="1" applyFill="1" applyBorder="1" applyAlignment="1">
      <alignment vertical="top" wrapText="1"/>
    </xf>
    <xf numFmtId="0" fontId="62" fillId="47" borderId="70" xfId="143" applyFont="1" applyFill="1" applyBorder="1" applyAlignment="1">
      <alignment vertical="top" wrapText="1"/>
    </xf>
    <xf numFmtId="0" fontId="63" fillId="43" borderId="80" xfId="143" applyFont="1" applyFill="1" applyBorder="1" applyAlignment="1">
      <alignment horizontal="left" vertical="center"/>
    </xf>
    <xf numFmtId="0" fontId="62" fillId="47" borderId="80" xfId="143" applyFont="1" applyFill="1" applyBorder="1" applyAlignment="1">
      <alignment horizontal="left" vertical="center"/>
    </xf>
    <xf numFmtId="0" fontId="64" fillId="0" borderId="0" xfId="143" applyFont="1" applyAlignment="1">
      <alignment vertical="top"/>
    </xf>
    <xf numFmtId="0" fontId="64" fillId="0" borderId="0" xfId="143" applyFont="1"/>
    <xf numFmtId="0" fontId="64" fillId="13" borderId="0" xfId="143" applyFont="1" applyFill="1" applyAlignment="1">
      <alignment horizontal="left"/>
    </xf>
    <xf numFmtId="167" fontId="4" fillId="0" borderId="1" xfId="1" applyNumberFormat="1" applyFont="1" applyBorder="1" applyAlignment="1">
      <alignment vertical="top" wrapText="1"/>
    </xf>
    <xf numFmtId="0" fontId="0" fillId="0" borderId="26" xfId="0" applyNumberFormat="1" applyFont="1" applyFill="1" applyBorder="1" applyAlignment="1">
      <alignment horizontal="center"/>
    </xf>
    <xf numFmtId="0" fontId="9" fillId="0" borderId="26" xfId="0" applyNumberFormat="1" applyFont="1" applyFill="1" applyBorder="1" applyAlignment="1">
      <alignment horizontal="center"/>
    </xf>
    <xf numFmtId="9" fontId="0" fillId="0" borderId="26" xfId="0" applyNumberFormat="1" applyFill="1" applyBorder="1"/>
    <xf numFmtId="0" fontId="0" fillId="0" borderId="26" xfId="0" applyFill="1" applyBorder="1"/>
    <xf numFmtId="0" fontId="0" fillId="0" borderId="76" xfId="0" applyFill="1" applyBorder="1"/>
    <xf numFmtId="9" fontId="0" fillId="0" borderId="76" xfId="0" applyNumberFormat="1" applyFill="1" applyBorder="1"/>
    <xf numFmtId="1" fontId="0" fillId="0" borderId="18" xfId="0" applyNumberFormat="1" applyFont="1" applyFill="1" applyBorder="1" applyAlignment="1">
      <alignment horizontal="center"/>
    </xf>
    <xf numFmtId="1" fontId="0" fillId="0" borderId="50" xfId="0" applyNumberFormat="1" applyFont="1" applyFill="1" applyBorder="1" applyAlignment="1">
      <alignment horizontal="center"/>
    </xf>
    <xf numFmtId="0" fontId="0" fillId="0" borderId="76" xfId="0" applyNumberFormat="1" applyFont="1" applyFill="1" applyBorder="1" applyAlignment="1">
      <alignment vertical="center"/>
    </xf>
    <xf numFmtId="0" fontId="4" fillId="0" borderId="76" xfId="143" applyFont="1" applyFill="1" applyBorder="1" applyAlignment="1">
      <alignment horizontal="left" vertical="top" wrapText="1"/>
    </xf>
    <xf numFmtId="0" fontId="4" fillId="0" borderId="11" xfId="3" applyFont="1" applyBorder="1" applyAlignment="1">
      <alignment vertical="top" wrapText="1"/>
    </xf>
    <xf numFmtId="0" fontId="0" fillId="0" borderId="75" xfId="0" applyNumberFormat="1" applyFont="1" applyFill="1" applyBorder="1" applyAlignment="1">
      <alignment horizontal="center"/>
    </xf>
    <xf numFmtId="0" fontId="9" fillId="0" borderId="76" xfId="0" applyNumberFormat="1" applyFont="1" applyFill="1" applyBorder="1" applyAlignment="1">
      <alignment horizontal="center"/>
    </xf>
    <xf numFmtId="0" fontId="0" fillId="0" borderId="26" xfId="0" applyNumberFormat="1" applyFont="1" applyFill="1" applyBorder="1" applyAlignment="1">
      <alignment horizontal="center"/>
    </xf>
    <xf numFmtId="0" fontId="0" fillId="0" borderId="76" xfId="0" applyNumberFormat="1" applyFont="1" applyFill="1" applyBorder="1" applyAlignment="1">
      <alignment horizontal="center"/>
    </xf>
    <xf numFmtId="9" fontId="4" fillId="0" borderId="11" xfId="3" applyNumberFormat="1" applyFont="1" applyFill="1" applyBorder="1" applyAlignment="1">
      <alignment horizontal="right" vertical="top" wrapText="1"/>
    </xf>
    <xf numFmtId="10" fontId="4" fillId="0" borderId="11" xfId="3" applyNumberFormat="1" applyFont="1" applyFill="1" applyBorder="1" applyAlignment="1">
      <alignment horizontal="right" vertical="top" wrapText="1"/>
    </xf>
    <xf numFmtId="166" fontId="4" fillId="0" borderId="11" xfId="3" applyNumberFormat="1" applyFont="1" applyFill="1" applyBorder="1" applyAlignment="1">
      <alignment horizontal="right" vertical="top" wrapText="1"/>
    </xf>
    <xf numFmtId="0" fontId="5" fillId="0" borderId="5" xfId="3" applyFont="1" applyFill="1" applyBorder="1" applyAlignment="1">
      <alignment horizontal="center" vertical="top" wrapText="1"/>
    </xf>
    <xf numFmtId="9" fontId="4" fillId="0" borderId="14" xfId="2" applyFont="1" applyFill="1" applyBorder="1" applyAlignment="1">
      <alignment vertical="top" wrapText="1"/>
    </xf>
    <xf numFmtId="0" fontId="5" fillId="0" borderId="22" xfId="3" applyFont="1" applyFill="1" applyBorder="1" applyAlignment="1">
      <alignment horizontal="center" vertical="top" wrapText="1"/>
    </xf>
    <xf numFmtId="167" fontId="4" fillId="0" borderId="14" xfId="1" applyNumberFormat="1" applyFont="1" applyFill="1" applyBorder="1" applyAlignment="1">
      <alignment vertical="top" wrapText="1"/>
    </xf>
    <xf numFmtId="9" fontId="4" fillId="0" borderId="22" xfId="2" applyFont="1" applyFill="1" applyBorder="1" applyAlignment="1">
      <alignment vertical="top" wrapText="1"/>
    </xf>
    <xf numFmtId="9" fontId="4" fillId="0" borderId="20" xfId="2" applyFont="1" applyFill="1" applyBorder="1" applyAlignment="1">
      <alignment horizontal="right" vertical="top" wrapText="1"/>
    </xf>
    <xf numFmtId="167" fontId="4" fillId="0" borderId="21" xfId="1" applyNumberFormat="1" applyFont="1" applyFill="1" applyBorder="1" applyAlignment="1">
      <alignment vertical="top" wrapText="1"/>
    </xf>
    <xf numFmtId="1" fontId="4" fillId="0" borderId="29" xfId="3" applyNumberFormat="1" applyFont="1" applyBorder="1" applyAlignment="1">
      <alignment vertical="top" wrapText="1"/>
    </xf>
    <xf numFmtId="1" fontId="4" fillId="0" borderId="31" xfId="3" applyNumberFormat="1" applyFont="1" applyBorder="1" applyAlignment="1">
      <alignment vertical="top" wrapText="1"/>
    </xf>
    <xf numFmtId="9" fontId="4" fillId="17" borderId="1" xfId="2" applyFont="1" applyFill="1" applyBorder="1" applyAlignment="1">
      <alignment horizontal="right" vertical="top" wrapText="1"/>
    </xf>
    <xf numFmtId="9" fontId="4" fillId="17" borderId="5" xfId="2" applyFont="1" applyFill="1" applyBorder="1" applyAlignment="1">
      <alignment vertical="top" wrapText="1"/>
    </xf>
    <xf numFmtId="9" fontId="4" fillId="17" borderId="1" xfId="2" applyFont="1" applyFill="1" applyBorder="1" applyAlignment="1">
      <alignment vertical="top" wrapText="1"/>
    </xf>
    <xf numFmtId="0" fontId="4" fillId="17" borderId="1" xfId="3" applyFont="1" applyFill="1" applyBorder="1" applyAlignment="1">
      <alignment horizontal="right" vertical="top" wrapText="1"/>
    </xf>
    <xf numFmtId="9" fontId="4" fillId="17" borderId="13" xfId="2" applyFont="1" applyFill="1" applyBorder="1" applyAlignment="1">
      <alignment horizontal="right" vertical="top" wrapText="1"/>
    </xf>
    <xf numFmtId="9" fontId="4" fillId="17" borderId="3" xfId="2" applyFont="1" applyFill="1" applyBorder="1" applyAlignment="1">
      <alignment vertical="top" wrapText="1"/>
    </xf>
    <xf numFmtId="9" fontId="4" fillId="17" borderId="4" xfId="2" applyFont="1" applyFill="1" applyBorder="1" applyAlignment="1">
      <alignment vertical="top" wrapText="1"/>
    </xf>
    <xf numFmtId="9" fontId="4" fillId="0" borderId="14" xfId="3" applyNumberFormat="1" applyFont="1" applyFill="1" applyBorder="1" applyAlignment="1">
      <alignment vertical="top" wrapText="1"/>
    </xf>
    <xf numFmtId="9" fontId="4" fillId="0" borderId="3" xfId="3" applyNumberFormat="1" applyFont="1" applyFill="1" applyBorder="1" applyAlignment="1">
      <alignment vertical="top" wrapText="1"/>
    </xf>
    <xf numFmtId="1" fontId="0" fillId="0" borderId="37" xfId="0" applyNumberFormat="1" applyFont="1" applyFill="1" applyBorder="1" applyAlignment="1">
      <alignment horizontal="center"/>
    </xf>
    <xf numFmtId="0" fontId="0" fillId="0" borderId="26" xfId="0" applyNumberFormat="1" applyFont="1" applyFill="1" applyBorder="1" applyAlignment="1">
      <alignment horizontal="center"/>
    </xf>
    <xf numFmtId="1" fontId="9" fillId="12" borderId="18" xfId="0" applyNumberFormat="1" applyFont="1" applyFill="1" applyBorder="1" applyAlignment="1">
      <alignment horizontal="center"/>
    </xf>
    <xf numFmtId="1" fontId="9" fillId="12" borderId="37" xfId="0" applyNumberFormat="1" applyFont="1" applyFill="1" applyBorder="1" applyAlignment="1">
      <alignment horizontal="center"/>
    </xf>
    <xf numFmtId="0" fontId="0" fillId="13" borderId="26" xfId="0" applyFill="1" applyBorder="1"/>
    <xf numFmtId="0" fontId="0" fillId="13" borderId="76" xfId="0" applyFill="1" applyBorder="1"/>
    <xf numFmtId="0" fontId="0" fillId="0" borderId="0" xfId="0" applyBorder="1"/>
    <xf numFmtId="0" fontId="0" fillId="0" borderId="77" xfId="0" applyBorder="1"/>
    <xf numFmtId="0" fontId="4" fillId="49" borderId="1" xfId="3" applyFont="1" applyFill="1" applyBorder="1" applyAlignment="1">
      <alignment horizontal="right" vertical="top" wrapText="1"/>
    </xf>
    <xf numFmtId="10" fontId="4" fillId="17" borderId="89" xfId="3" applyNumberFormat="1" applyFont="1" applyFill="1" applyBorder="1" applyAlignment="1">
      <alignment horizontal="left" vertical="top" wrapText="1"/>
    </xf>
    <xf numFmtId="0" fontId="4" fillId="0" borderId="26" xfId="3" applyFont="1" applyFill="1" applyBorder="1" applyAlignment="1">
      <alignment vertical="center" wrapText="1"/>
    </xf>
    <xf numFmtId="0" fontId="0" fillId="0" borderId="0" xfId="0" applyAlignment="1">
      <alignment horizontal="justify" vertical="center"/>
    </xf>
    <xf numFmtId="0" fontId="0" fillId="0" borderId="0" xfId="0" applyAlignment="1">
      <alignment wrapText="1"/>
    </xf>
    <xf numFmtId="0" fontId="1" fillId="0" borderId="26" xfId="3" applyFont="1" applyFill="1" applyBorder="1" applyAlignment="1">
      <alignment vertical="center" wrapText="1"/>
    </xf>
    <xf numFmtId="1" fontId="1" fillId="0" borderId="0" xfId="3" applyNumberFormat="1" applyFont="1" applyFill="1" applyAlignment="1">
      <alignment vertical="center" wrapText="1"/>
    </xf>
    <xf numFmtId="0" fontId="1" fillId="0" borderId="26" xfId="3" applyFont="1" applyFill="1" applyBorder="1" applyAlignment="1">
      <alignment horizontal="center" vertical="center" wrapText="1"/>
    </xf>
    <xf numFmtId="9" fontId="1" fillId="0" borderId="26" xfId="3" applyNumberFormat="1" applyFont="1" applyFill="1" applyBorder="1" applyAlignment="1">
      <alignment horizontal="right" vertical="center" wrapText="1"/>
    </xf>
    <xf numFmtId="0" fontId="1" fillId="0" borderId="26" xfId="3" quotePrefix="1" applyFont="1" applyFill="1" applyBorder="1" applyAlignment="1">
      <alignment horizontal="right" vertical="center" wrapText="1"/>
    </xf>
    <xf numFmtId="0" fontId="1" fillId="0" borderId="26" xfId="3" applyFont="1" applyFill="1" applyBorder="1" applyAlignment="1">
      <alignment horizontal="right" vertical="center" wrapText="1"/>
    </xf>
    <xf numFmtId="167" fontId="1" fillId="0" borderId="26" xfId="1" applyNumberFormat="1" applyFont="1" applyFill="1" applyBorder="1" applyAlignment="1">
      <alignment horizontal="right" vertical="center" wrapText="1"/>
    </xf>
    <xf numFmtId="0" fontId="1" fillId="0" borderId="26" xfId="143" applyBorder="1" applyAlignment="1">
      <alignment wrapText="1"/>
    </xf>
    <xf numFmtId="0" fontId="4" fillId="0" borderId="26" xfId="3" applyFont="1" applyFill="1" applyBorder="1" applyAlignment="1">
      <alignment horizontal="left" vertical="center" wrapText="1"/>
    </xf>
    <xf numFmtId="10" fontId="4" fillId="0" borderId="26" xfId="3" applyNumberFormat="1" applyFont="1" applyFill="1" applyBorder="1" applyAlignment="1">
      <alignment horizontal="left" vertical="center" wrapText="1"/>
    </xf>
    <xf numFmtId="0" fontId="1" fillId="6" borderId="26" xfId="143" applyFill="1" applyBorder="1" applyAlignment="1">
      <alignment wrapText="1"/>
    </xf>
    <xf numFmtId="0" fontId="1" fillId="0" borderId="26" xfId="3" applyFont="1" applyFill="1" applyBorder="1" applyAlignment="1">
      <alignment vertical="center" wrapText="1"/>
    </xf>
    <xf numFmtId="0" fontId="1" fillId="0" borderId="26" xfId="3" applyFont="1" applyFill="1" applyBorder="1" applyAlignment="1">
      <alignment horizontal="left" vertical="center" wrapText="1"/>
    </xf>
    <xf numFmtId="0" fontId="5" fillId="0" borderId="13" xfId="3" applyFont="1" applyBorder="1" applyAlignment="1">
      <alignment horizontal="center" vertical="top" wrapText="1"/>
    </xf>
    <xf numFmtId="0" fontId="5" fillId="7" borderId="9" xfId="3" applyFont="1" applyFill="1" applyBorder="1" applyAlignment="1">
      <alignment vertical="top" wrapText="1"/>
    </xf>
    <xf numFmtId="0" fontId="5" fillId="7" borderId="13" xfId="3" applyFont="1" applyFill="1" applyBorder="1" applyAlignment="1">
      <alignment vertical="top" wrapText="1"/>
    </xf>
    <xf numFmtId="0" fontId="5" fillId="5" borderId="4" xfId="3" applyFont="1" applyFill="1" applyBorder="1" applyAlignment="1">
      <alignment horizontal="center" vertical="center" wrapText="1"/>
    </xf>
    <xf numFmtId="9" fontId="4" fillId="0" borderId="4" xfId="2" applyFont="1" applyBorder="1" applyAlignment="1">
      <alignment horizontal="right" vertical="top" wrapText="1"/>
    </xf>
    <xf numFmtId="0" fontId="5" fillId="4" borderId="4" xfId="3" applyFont="1" applyFill="1" applyBorder="1" applyAlignment="1">
      <alignment horizontal="center" vertical="top" wrapText="1"/>
    </xf>
    <xf numFmtId="0" fontId="4" fillId="0" borderId="4" xfId="3" applyFont="1" applyBorder="1" applyAlignment="1">
      <alignment horizontal="center" vertical="top" wrapText="1"/>
    </xf>
    <xf numFmtId="0" fontId="5" fillId="0" borderId="1" xfId="3" applyFont="1" applyBorder="1" applyAlignment="1">
      <alignment horizontal="center" vertical="top" wrapText="1"/>
    </xf>
    <xf numFmtId="0" fontId="0" fillId="0" borderId="0" xfId="0" applyAlignment="1">
      <alignment horizontal="center" vertical="center" wrapText="1"/>
    </xf>
    <xf numFmtId="0" fontId="42" fillId="0" borderId="26" xfId="3" applyFont="1" applyFill="1" applyBorder="1" applyAlignment="1">
      <alignment vertical="center" wrapText="1"/>
    </xf>
    <xf numFmtId="0" fontId="42" fillId="0" borderId="26" xfId="3" applyFont="1" applyFill="1" applyBorder="1" applyAlignment="1">
      <alignment horizontal="center" vertical="center" wrapText="1"/>
    </xf>
    <xf numFmtId="0" fontId="42" fillId="6" borderId="26" xfId="3" applyFont="1" applyFill="1" applyBorder="1" applyAlignment="1">
      <alignment vertical="center" wrapText="1"/>
    </xf>
    <xf numFmtId="0" fontId="5" fillId="0" borderId="26" xfId="3" applyFont="1" applyFill="1" applyBorder="1" applyAlignment="1">
      <alignment vertical="center" wrapText="1"/>
    </xf>
    <xf numFmtId="0" fontId="4" fillId="0" borderId="26" xfId="143" applyFont="1" applyBorder="1" applyAlignment="1">
      <alignment wrapText="1"/>
    </xf>
    <xf numFmtId="0" fontId="4" fillId="0" borderId="26" xfId="3" applyFont="1" applyFill="1" applyBorder="1" applyAlignment="1">
      <alignment horizontal="center" vertical="center" wrapText="1"/>
    </xf>
    <xf numFmtId="1" fontId="4" fillId="0" borderId="26" xfId="3" applyNumberFormat="1" applyFont="1" applyFill="1" applyBorder="1" applyAlignment="1">
      <alignment horizontal="right" vertical="center" wrapText="1"/>
    </xf>
    <xf numFmtId="0" fontId="1" fillId="6" borderId="26" xfId="3" applyFont="1" applyFill="1" applyBorder="1" applyAlignment="1">
      <alignment vertical="center" wrapText="1"/>
    </xf>
    <xf numFmtId="0" fontId="4" fillId="0" borderId="26" xfId="3" quotePrefix="1" applyFont="1" applyFill="1" applyBorder="1" applyAlignment="1">
      <alignment horizontal="right" vertical="center" wrapText="1"/>
    </xf>
    <xf numFmtId="166" fontId="4" fillId="0" borderId="26" xfId="2" applyNumberFormat="1" applyFont="1" applyFill="1" applyBorder="1" applyAlignment="1">
      <alignment horizontal="right" vertical="center" wrapText="1"/>
    </xf>
    <xf numFmtId="10" fontId="1" fillId="0" borderId="26" xfId="3" applyNumberFormat="1" applyFont="1" applyFill="1" applyBorder="1" applyAlignment="1">
      <alignment horizontal="left" vertical="center" wrapText="1"/>
    </xf>
    <xf numFmtId="9" fontId="4" fillId="0" borderId="26" xfId="3" applyNumberFormat="1" applyFont="1" applyFill="1" applyBorder="1" applyAlignment="1">
      <alignment horizontal="right" vertical="center" wrapText="1"/>
    </xf>
    <xf numFmtId="9" fontId="1" fillId="0" borderId="26" xfId="3" applyNumberFormat="1" applyFont="1" applyFill="1" applyBorder="1" applyAlignment="1">
      <alignment horizontal="left" vertical="center" wrapText="1"/>
    </xf>
    <xf numFmtId="167" fontId="4" fillId="0" borderId="26" xfId="1" applyNumberFormat="1" applyFont="1" applyFill="1" applyBorder="1" applyAlignment="1">
      <alignment horizontal="right" vertical="center" wrapText="1"/>
    </xf>
    <xf numFmtId="3" fontId="1" fillId="0" borderId="26" xfId="3" applyNumberFormat="1" applyFont="1" applyFill="1" applyBorder="1" applyAlignment="1">
      <alignment horizontal="left" vertical="center" wrapText="1"/>
    </xf>
    <xf numFmtId="3" fontId="1" fillId="17" borderId="26" xfId="3" applyNumberFormat="1" applyFont="1" applyFill="1" applyBorder="1" applyAlignment="1">
      <alignment horizontal="left" vertical="center" wrapText="1"/>
    </xf>
    <xf numFmtId="3" fontId="4" fillId="0" borderId="26" xfId="3" applyNumberFormat="1" applyFont="1" applyFill="1" applyBorder="1" applyAlignment="1">
      <alignment horizontal="left" vertical="center" wrapText="1"/>
    </xf>
    <xf numFmtId="3" fontId="4" fillId="0" borderId="26" xfId="3" applyNumberFormat="1" applyFont="1" applyFill="1" applyBorder="1" applyAlignment="1">
      <alignment horizontal="right" vertical="center" wrapText="1"/>
    </xf>
    <xf numFmtId="0" fontId="4" fillId="17" borderId="26" xfId="3" applyFont="1" applyFill="1" applyBorder="1" applyAlignment="1">
      <alignment vertical="center" wrapText="1"/>
    </xf>
    <xf numFmtId="167" fontId="4" fillId="0" borderId="26" xfId="3" applyNumberFormat="1" applyFont="1" applyFill="1" applyBorder="1" applyAlignment="1">
      <alignment horizontal="right" vertical="center" wrapText="1"/>
    </xf>
    <xf numFmtId="167" fontId="1" fillId="0" borderId="26" xfId="1" applyNumberFormat="1" applyFont="1" applyFill="1" applyBorder="1" applyAlignment="1">
      <alignment horizontal="left" vertical="center" wrapText="1"/>
    </xf>
    <xf numFmtId="167" fontId="1" fillId="17" borderId="26" xfId="1" applyNumberFormat="1" applyFont="1" applyFill="1" applyBorder="1" applyAlignment="1">
      <alignment horizontal="left" vertical="center" wrapText="1"/>
    </xf>
    <xf numFmtId="167" fontId="4" fillId="0" borderId="26" xfId="1" applyNumberFormat="1" applyFont="1" applyFill="1" applyBorder="1" applyAlignment="1">
      <alignment horizontal="left" vertical="center" wrapText="1"/>
    </xf>
    <xf numFmtId="1" fontId="4" fillId="0" borderId="26" xfId="3" applyNumberFormat="1" applyFont="1" applyFill="1" applyBorder="1" applyAlignment="1">
      <alignment horizontal="center" vertical="center" wrapText="1"/>
    </xf>
    <xf numFmtId="0" fontId="1" fillId="17" borderId="26" xfId="3" applyFont="1" applyFill="1" applyBorder="1" applyAlignment="1">
      <alignment horizontal="center" vertical="center" wrapText="1"/>
    </xf>
    <xf numFmtId="0" fontId="1" fillId="6" borderId="26" xfId="3" applyFont="1" applyFill="1" applyBorder="1" applyAlignment="1">
      <alignment horizontal="center" vertical="center" wrapText="1"/>
    </xf>
    <xf numFmtId="0" fontId="4" fillId="17" borderId="26" xfId="3" applyFont="1" applyFill="1" applyBorder="1" applyAlignment="1">
      <alignment horizontal="left" vertical="center" wrapText="1"/>
    </xf>
    <xf numFmtId="0" fontId="1" fillId="17" borderId="26" xfId="3" applyFont="1" applyFill="1" applyBorder="1" applyAlignment="1">
      <alignment horizontal="left" vertical="center" wrapText="1"/>
    </xf>
    <xf numFmtId="0" fontId="4" fillId="0" borderId="26" xfId="3" applyFont="1" applyFill="1" applyBorder="1" applyAlignment="1">
      <alignment horizontal="right" vertical="center" wrapText="1"/>
    </xf>
    <xf numFmtId="1" fontId="1" fillId="0" borderId="26" xfId="3" applyNumberFormat="1" applyFont="1" applyFill="1" applyBorder="1" applyAlignment="1">
      <alignment vertical="center" wrapText="1"/>
    </xf>
    <xf numFmtId="1" fontId="4" fillId="0" borderId="26" xfId="3" applyNumberFormat="1" applyFont="1" applyFill="1" applyBorder="1" applyAlignment="1">
      <alignment vertical="center" wrapText="1"/>
    </xf>
    <xf numFmtId="0" fontId="1" fillId="17" borderId="26" xfId="3" applyFont="1" applyFill="1" applyBorder="1" applyAlignment="1">
      <alignment vertical="center" wrapText="1"/>
    </xf>
    <xf numFmtId="3" fontId="4" fillId="17" borderId="26" xfId="3" applyNumberFormat="1" applyFont="1" applyFill="1" applyBorder="1" applyAlignment="1">
      <alignment horizontal="left" vertical="center" wrapText="1"/>
    </xf>
    <xf numFmtId="3" fontId="4" fillId="17" borderId="26" xfId="3" applyNumberFormat="1" applyFont="1" applyFill="1" applyBorder="1" applyAlignment="1">
      <alignment horizontal="right" vertical="center" wrapText="1"/>
    </xf>
    <xf numFmtId="0" fontId="4" fillId="17" borderId="26" xfId="3" quotePrefix="1" applyFont="1" applyFill="1" applyBorder="1" applyAlignment="1">
      <alignment horizontal="right" vertical="center" wrapText="1"/>
    </xf>
    <xf numFmtId="167" fontId="4" fillId="17" borderId="26" xfId="3" applyNumberFormat="1" applyFont="1" applyFill="1" applyBorder="1" applyAlignment="1">
      <alignment horizontal="right" vertical="center" wrapText="1"/>
    </xf>
    <xf numFmtId="1" fontId="1" fillId="0" borderId="26" xfId="3" applyNumberFormat="1" applyFont="1" applyFill="1" applyBorder="1" applyAlignment="1">
      <alignment horizontal="left" vertical="center" wrapText="1"/>
    </xf>
    <xf numFmtId="0" fontId="1" fillId="6" borderId="26" xfId="3" applyFont="1" applyFill="1" applyBorder="1" applyAlignment="1">
      <alignment horizontal="left" vertical="center" wrapText="1"/>
    </xf>
    <xf numFmtId="0" fontId="5" fillId="0" borderId="2" xfId="3" applyFont="1" applyFill="1" applyBorder="1" applyAlignment="1">
      <alignment vertical="top" wrapText="1"/>
    </xf>
    <xf numFmtId="0" fontId="5" fillId="0" borderId="80" xfId="3" applyFont="1" applyFill="1" applyBorder="1" applyAlignment="1">
      <alignment vertical="top" wrapText="1"/>
    </xf>
    <xf numFmtId="0" fontId="5" fillId="0" borderId="88" xfId="3" applyFont="1" applyFill="1" applyBorder="1" applyAlignment="1">
      <alignment vertical="top" wrapText="1"/>
    </xf>
    <xf numFmtId="0" fontId="4" fillId="0" borderId="89" xfId="3" applyFont="1" applyBorder="1" applyAlignment="1">
      <alignment vertical="top" wrapText="1"/>
    </xf>
    <xf numFmtId="0" fontId="4" fillId="0" borderId="89" xfId="3" applyFont="1" applyBorder="1" applyAlignment="1">
      <alignment horizontal="right" vertical="top" wrapText="1"/>
    </xf>
    <xf numFmtId="0" fontId="4" fillId="17" borderId="89" xfId="3" applyFont="1" applyFill="1" applyBorder="1" applyAlignment="1">
      <alignment horizontal="right" vertical="top" wrapText="1"/>
    </xf>
    <xf numFmtId="0" fontId="4" fillId="0" borderId="89" xfId="3" applyFont="1" applyFill="1" applyBorder="1" applyAlignment="1">
      <alignment horizontal="right" vertical="top" wrapText="1"/>
    </xf>
    <xf numFmtId="0" fontId="4" fillId="0" borderId="80" xfId="3" applyFont="1" applyBorder="1" applyAlignment="1">
      <alignment vertical="top" wrapText="1"/>
    </xf>
    <xf numFmtId="166" fontId="4" fillId="0" borderId="89" xfId="2" applyNumberFormat="1" applyFont="1" applyBorder="1" applyAlignment="1">
      <alignment vertical="top" wrapText="1"/>
    </xf>
    <xf numFmtId="10" fontId="4" fillId="17" borderId="89" xfId="3" applyNumberFormat="1" applyFont="1" applyFill="1" applyBorder="1" applyAlignment="1">
      <alignment horizontal="right" vertical="top" wrapText="1"/>
    </xf>
    <xf numFmtId="166" fontId="4" fillId="0" borderId="89" xfId="3" applyNumberFormat="1" applyFont="1" applyBorder="1" applyAlignment="1">
      <alignment vertical="top" wrapText="1"/>
    </xf>
    <xf numFmtId="166" fontId="4" fillId="17" borderId="89" xfId="3" applyNumberFormat="1" applyFont="1" applyFill="1" applyBorder="1" applyAlignment="1">
      <alignment horizontal="right" vertical="top" wrapText="1"/>
    </xf>
    <xf numFmtId="0" fontId="4" fillId="0" borderId="98" xfId="3" applyFont="1" applyBorder="1" applyAlignment="1">
      <alignment horizontal="center" vertical="top" wrapText="1"/>
    </xf>
    <xf numFmtId="17" fontId="5" fillId="3" borderId="13" xfId="3" applyNumberFormat="1" applyFont="1" applyFill="1" applyBorder="1" applyAlignment="1">
      <alignment horizontal="center" vertical="top" wrapText="1"/>
    </xf>
    <xf numFmtId="0" fontId="5" fillId="4" borderId="89" xfId="3" applyFont="1" applyFill="1" applyBorder="1" applyAlignment="1">
      <alignment vertical="center" wrapText="1"/>
    </xf>
    <xf numFmtId="0" fontId="5" fillId="5" borderId="89" xfId="3" applyFont="1" applyFill="1" applyBorder="1" applyAlignment="1">
      <alignment horizontal="center" vertical="center" wrapText="1"/>
    </xf>
    <xf numFmtId="0" fontId="0" fillId="0" borderId="0" xfId="0" applyAlignment="1">
      <alignment horizontal="center"/>
    </xf>
    <xf numFmtId="0" fontId="12" fillId="0" borderId="26" xfId="0" applyFont="1" applyBorder="1" applyAlignment="1">
      <alignment horizontal="center"/>
    </xf>
    <xf numFmtId="0" fontId="12" fillId="0" borderId="26" xfId="0" applyFont="1" applyBorder="1"/>
    <xf numFmtId="0" fontId="69" fillId="0" borderId="26" xfId="3203" applyBorder="1" applyAlignment="1">
      <alignment horizontal="center"/>
    </xf>
    <xf numFmtId="0" fontId="11" fillId="12" borderId="26" xfId="0" applyFont="1" applyFill="1" applyBorder="1" applyAlignment="1">
      <alignment horizontal="center"/>
    </xf>
    <xf numFmtId="0" fontId="4" fillId="6" borderId="4" xfId="3" applyFont="1" applyFill="1" applyBorder="1" applyAlignment="1">
      <alignment vertical="top" wrapText="1"/>
    </xf>
    <xf numFmtId="0" fontId="5" fillId="0" borderId="80" xfId="3" applyFont="1" applyBorder="1" applyAlignment="1">
      <alignment horizontal="center" vertical="top" wrapText="1"/>
    </xf>
    <xf numFmtId="0" fontId="5" fillId="2" borderId="89" xfId="3" applyFont="1" applyFill="1" applyBorder="1" applyAlignment="1">
      <alignment vertical="top" wrapText="1"/>
    </xf>
    <xf numFmtId="0" fontId="5" fillId="4" borderId="89" xfId="3" applyFont="1" applyFill="1" applyBorder="1" applyAlignment="1">
      <alignment horizontal="center" vertical="center" wrapText="1"/>
    </xf>
    <xf numFmtId="0" fontId="4" fillId="6" borderId="89" xfId="3" applyFont="1" applyFill="1" applyBorder="1" applyAlignment="1">
      <alignment vertical="top" wrapText="1"/>
    </xf>
    <xf numFmtId="0" fontId="4" fillId="9" borderId="88" xfId="3" applyFont="1" applyFill="1" applyBorder="1" applyAlignment="1">
      <alignment vertical="top" wrapText="1"/>
    </xf>
    <xf numFmtId="0" fontId="5" fillId="10" borderId="89" xfId="3" applyFont="1" applyFill="1" applyBorder="1" applyAlignment="1">
      <alignment vertical="top" wrapText="1"/>
    </xf>
    <xf numFmtId="0" fontId="5" fillId="7" borderId="9" xfId="3" applyFont="1" applyFill="1" applyBorder="1" applyAlignment="1">
      <alignment vertical="top" wrapText="1"/>
    </xf>
    <xf numFmtId="0" fontId="5" fillId="7" borderId="13" xfId="3" applyFont="1" applyFill="1" applyBorder="1" applyAlignment="1">
      <alignment vertical="top" wrapText="1"/>
    </xf>
    <xf numFmtId="0" fontId="5" fillId="9" borderId="7" xfId="3" applyFont="1" applyFill="1" applyBorder="1" applyAlignment="1">
      <alignment vertical="top" wrapText="1"/>
    </xf>
    <xf numFmtId="0" fontId="5" fillId="9" borderId="4" xfId="3" applyFont="1" applyFill="1" applyBorder="1" applyAlignment="1">
      <alignment vertical="top" wrapText="1"/>
    </xf>
    <xf numFmtId="9" fontId="5" fillId="0" borderId="14" xfId="2" applyFont="1" applyBorder="1" applyAlignment="1">
      <alignment vertical="top" wrapText="1"/>
    </xf>
    <xf numFmtId="9" fontId="5" fillId="0" borderId="4" xfId="2" applyFont="1" applyBorder="1" applyAlignment="1">
      <alignment vertical="top" wrapText="1"/>
    </xf>
    <xf numFmtId="0" fontId="5" fillId="6" borderId="17" xfId="3" applyFont="1" applyFill="1" applyBorder="1" applyAlignment="1">
      <alignment vertical="top" wrapText="1"/>
    </xf>
    <xf numFmtId="0" fontId="5" fillId="6" borderId="3" xfId="3" applyFont="1" applyFill="1" applyBorder="1" applyAlignment="1">
      <alignment vertical="top" wrapText="1"/>
    </xf>
    <xf numFmtId="0" fontId="5" fillId="6" borderId="10" xfId="3" applyFont="1" applyFill="1" applyBorder="1" applyAlignment="1">
      <alignment vertical="top" wrapText="1"/>
    </xf>
    <xf numFmtId="0" fontId="5" fillId="6" borderId="16" xfId="3" applyFont="1" applyFill="1" applyBorder="1" applyAlignment="1">
      <alignment vertical="top" wrapText="1"/>
    </xf>
    <xf numFmtId="0" fontId="5" fillId="6" borderId="7" xfId="3" applyFont="1" applyFill="1" applyBorder="1" applyAlignment="1">
      <alignment vertical="top" wrapText="1"/>
    </xf>
    <xf numFmtId="0" fontId="5" fillId="6" borderId="11" xfId="3" applyFont="1" applyFill="1" applyBorder="1" applyAlignment="1">
      <alignment vertical="top" wrapText="1"/>
    </xf>
    <xf numFmtId="0" fontId="4" fillId="8" borderId="9" xfId="3" applyFont="1" applyFill="1" applyBorder="1" applyAlignment="1">
      <alignment horizontal="center" vertical="center" wrapText="1"/>
    </xf>
    <xf numFmtId="0" fontId="4" fillId="8" borderId="20" xfId="3" applyFont="1" applyFill="1" applyBorder="1" applyAlignment="1">
      <alignment horizontal="center" vertical="center" wrapText="1"/>
    </xf>
    <xf numFmtId="0" fontId="4" fillId="8" borderId="13" xfId="3" applyFont="1" applyFill="1" applyBorder="1" applyAlignment="1">
      <alignment horizontal="center" vertical="center" wrapText="1"/>
    </xf>
    <xf numFmtId="0" fontId="4" fillId="8" borderId="9" xfId="3" applyFont="1" applyFill="1" applyBorder="1" applyAlignment="1">
      <alignment vertical="top" wrapText="1"/>
    </xf>
    <xf numFmtId="0" fontId="4" fillId="8" borderId="20" xfId="3" applyFont="1" applyFill="1" applyBorder="1" applyAlignment="1">
      <alignment vertical="top" wrapText="1"/>
    </xf>
    <xf numFmtId="0" fontId="4" fillId="8" borderId="13" xfId="3" applyFont="1" applyFill="1" applyBorder="1" applyAlignment="1">
      <alignment vertical="top" wrapText="1"/>
    </xf>
    <xf numFmtId="0" fontId="5" fillId="0" borderId="1" xfId="3" applyFont="1" applyBorder="1" applyAlignment="1">
      <alignment horizontal="center" vertical="top" wrapText="1"/>
    </xf>
    <xf numFmtId="0" fontId="5" fillId="4" borderId="5" xfId="3" applyFont="1" applyFill="1" applyBorder="1" applyAlignment="1">
      <alignment horizontal="center" vertical="top" wrapText="1"/>
    </xf>
    <xf numFmtId="0" fontId="5" fillId="4" borderId="14" xfId="3" applyFont="1" applyFill="1" applyBorder="1" applyAlignment="1">
      <alignment horizontal="center" vertical="top" wrapText="1"/>
    </xf>
    <xf numFmtId="0" fontId="5" fillId="4" borderId="4" xfId="3" applyFont="1" applyFill="1" applyBorder="1" applyAlignment="1">
      <alignment horizontal="center" vertical="top" wrapText="1"/>
    </xf>
    <xf numFmtId="0" fontId="4" fillId="0" borderId="5" xfId="3" applyFont="1" applyBorder="1" applyAlignment="1">
      <alignment horizontal="center" vertical="top" wrapText="1"/>
    </xf>
    <xf numFmtId="0" fontId="4" fillId="0" borderId="14" xfId="3" applyFont="1" applyBorder="1" applyAlignment="1">
      <alignment horizontal="center" vertical="top" wrapText="1"/>
    </xf>
    <xf numFmtId="0" fontId="4" fillId="0" borderId="4" xfId="3" applyFont="1" applyBorder="1" applyAlignment="1">
      <alignment horizontal="center" vertical="top" wrapText="1"/>
    </xf>
    <xf numFmtId="0" fontId="4" fillId="0" borderId="9" xfId="3" applyFont="1" applyBorder="1" applyAlignment="1">
      <alignment vertical="top" wrapText="1"/>
    </xf>
    <xf numFmtId="0" fontId="4" fillId="0" borderId="20" xfId="3" applyFont="1" applyBorder="1" applyAlignment="1">
      <alignment vertical="top" wrapText="1"/>
    </xf>
    <xf numFmtId="0" fontId="4" fillId="0" borderId="13" xfId="3" applyFont="1" applyBorder="1" applyAlignment="1">
      <alignment vertical="top" wrapText="1"/>
    </xf>
    <xf numFmtId="0" fontId="5" fillId="5" borderId="5" xfId="3" applyFont="1" applyFill="1" applyBorder="1" applyAlignment="1">
      <alignment horizontal="center" vertical="center" wrapText="1"/>
    </xf>
    <xf numFmtId="0" fontId="5" fillId="5" borderId="4" xfId="3" applyFont="1" applyFill="1" applyBorder="1" applyAlignment="1">
      <alignment horizontal="center" vertical="center" wrapText="1"/>
    </xf>
    <xf numFmtId="9" fontId="4" fillId="0" borderId="5" xfId="2" applyFont="1" applyBorder="1" applyAlignment="1">
      <alignment horizontal="right" vertical="top" wrapText="1"/>
    </xf>
    <xf numFmtId="9" fontId="4" fillId="0" borderId="4" xfId="2" applyFont="1" applyBorder="1" applyAlignment="1">
      <alignment horizontal="right" vertical="top" wrapText="1"/>
    </xf>
    <xf numFmtId="9" fontId="5" fillId="0" borderId="5" xfId="2" applyFont="1" applyFill="1" applyBorder="1" applyAlignment="1">
      <alignment horizontal="right" vertical="top" wrapText="1"/>
    </xf>
    <xf numFmtId="9" fontId="5" fillId="0" borderId="4" xfId="2" applyFont="1" applyFill="1" applyBorder="1" applyAlignment="1">
      <alignment horizontal="right" vertical="top" wrapText="1"/>
    </xf>
    <xf numFmtId="0" fontId="5" fillId="4" borderId="17" xfId="3" applyFont="1" applyFill="1" applyBorder="1" applyAlignment="1">
      <alignment horizontal="center" vertical="top" wrapText="1"/>
    </xf>
    <xf numFmtId="0" fontId="5" fillId="4" borderId="3" xfId="3" applyFont="1" applyFill="1" applyBorder="1" applyAlignment="1">
      <alignment horizontal="center" vertical="top" wrapText="1"/>
    </xf>
    <xf numFmtId="0" fontId="5" fillId="4" borderId="10" xfId="3" applyFont="1" applyFill="1" applyBorder="1" applyAlignment="1">
      <alignment horizontal="center" vertical="top" wrapText="1"/>
    </xf>
    <xf numFmtId="0" fontId="4" fillId="0" borderId="5" xfId="3" applyFont="1" applyBorder="1" applyAlignment="1">
      <alignment horizontal="left" vertical="top" wrapText="1"/>
    </xf>
    <xf numFmtId="0" fontId="4" fillId="0" borderId="14" xfId="3" applyFont="1" applyBorder="1" applyAlignment="1">
      <alignment horizontal="left" vertical="top" wrapText="1"/>
    </xf>
    <xf numFmtId="0" fontId="4" fillId="0" borderId="4" xfId="3" applyFont="1" applyBorder="1" applyAlignment="1">
      <alignment horizontal="left" vertical="top" wrapText="1"/>
    </xf>
    <xf numFmtId="0" fontId="4" fillId="6" borderId="9" xfId="3" applyFont="1" applyFill="1" applyBorder="1" applyAlignment="1">
      <alignment vertical="top" wrapText="1"/>
    </xf>
    <xf numFmtId="0" fontId="4" fillId="6" borderId="20" xfId="3" applyFont="1" applyFill="1" applyBorder="1" applyAlignment="1">
      <alignment vertical="top" wrapText="1"/>
    </xf>
    <xf numFmtId="0" fontId="4" fillId="6" borderId="13" xfId="3" applyFont="1" applyFill="1" applyBorder="1" applyAlignment="1">
      <alignment vertical="top" wrapText="1"/>
    </xf>
    <xf numFmtId="0" fontId="5" fillId="6" borderId="17" xfId="3" applyFont="1" applyFill="1" applyBorder="1" applyAlignment="1">
      <alignment horizontal="center" vertical="top" wrapText="1"/>
    </xf>
    <xf numFmtId="0" fontId="5" fillId="6" borderId="3" xfId="3" applyFont="1" applyFill="1" applyBorder="1" applyAlignment="1">
      <alignment horizontal="center" vertical="top" wrapText="1"/>
    </xf>
    <xf numFmtId="0" fontId="4" fillId="6" borderId="14" xfId="3" applyFont="1" applyFill="1" applyBorder="1" applyAlignment="1">
      <alignment vertical="top" wrapText="1"/>
    </xf>
    <xf numFmtId="0" fontId="4" fillId="0" borderId="5" xfId="3" applyFont="1" applyBorder="1" applyAlignment="1">
      <alignment horizontal="right" vertical="top" wrapText="1"/>
    </xf>
    <xf numFmtId="0" fontId="4" fillId="0" borderId="4" xfId="3" applyFont="1" applyBorder="1" applyAlignment="1">
      <alignment horizontal="right" vertical="top" wrapText="1"/>
    </xf>
    <xf numFmtId="0" fontId="4" fillId="0" borderId="9" xfId="3" applyFont="1" applyFill="1" applyBorder="1" applyAlignment="1">
      <alignment horizontal="center" vertical="center" wrapText="1"/>
    </xf>
    <xf numFmtId="0" fontId="4" fillId="0" borderId="20" xfId="3" applyFont="1" applyFill="1" applyBorder="1" applyAlignment="1">
      <alignment horizontal="center" vertical="center" wrapText="1"/>
    </xf>
    <xf numFmtId="0" fontId="4" fillId="0" borderId="13" xfId="3" applyFont="1" applyFill="1" applyBorder="1" applyAlignment="1">
      <alignment horizontal="center" vertical="center" wrapText="1"/>
    </xf>
    <xf numFmtId="0" fontId="4" fillId="0" borderId="9" xfId="3" applyFont="1" applyFill="1" applyBorder="1" applyAlignment="1">
      <alignment vertical="top" wrapText="1"/>
    </xf>
    <xf numFmtId="0" fontId="4" fillId="0" borderId="20" xfId="3" applyFont="1" applyFill="1" applyBorder="1" applyAlignment="1">
      <alignment vertical="top" wrapText="1"/>
    </xf>
    <xf numFmtId="0" fontId="4" fillId="0" borderId="13" xfId="3" applyFont="1" applyFill="1" applyBorder="1" applyAlignment="1">
      <alignment vertical="top" wrapText="1"/>
    </xf>
    <xf numFmtId="9" fontId="4" fillId="0" borderId="5" xfId="2" applyFont="1" applyFill="1" applyBorder="1" applyAlignment="1">
      <alignment horizontal="right" vertical="top" wrapText="1"/>
    </xf>
    <xf numFmtId="9" fontId="4" fillId="0" borderId="4" xfId="2" applyFont="1" applyFill="1" applyBorder="1" applyAlignment="1">
      <alignment horizontal="right" vertical="top" wrapText="1"/>
    </xf>
    <xf numFmtId="0" fontId="5" fillId="0" borderId="9" xfId="3" applyFont="1" applyBorder="1" applyAlignment="1">
      <alignment horizontal="center" vertical="top" wrapText="1"/>
    </xf>
    <xf numFmtId="0" fontId="5" fillId="0" borderId="13" xfId="3" applyFont="1" applyBorder="1" applyAlignment="1">
      <alignment horizontal="center" vertical="top" wrapText="1"/>
    </xf>
    <xf numFmtId="0" fontId="5" fillId="4" borderId="2" xfId="3" applyFont="1" applyFill="1" applyBorder="1" applyAlignment="1">
      <alignment horizontal="center" vertical="top" wrapText="1"/>
    </xf>
    <xf numFmtId="0" fontId="5" fillId="4" borderId="0" xfId="3" applyFont="1" applyFill="1" applyBorder="1" applyAlignment="1">
      <alignment horizontal="center" vertical="top" wrapText="1"/>
    </xf>
    <xf numFmtId="0" fontId="4" fillId="0" borderId="5" xfId="3" applyFont="1" applyFill="1" applyBorder="1" applyAlignment="1">
      <alignment horizontal="right" vertical="center" wrapText="1"/>
    </xf>
    <xf numFmtId="0" fontId="4" fillId="0" borderId="4" xfId="3" applyFont="1" applyFill="1" applyBorder="1" applyAlignment="1">
      <alignment horizontal="right" vertical="center" wrapText="1"/>
    </xf>
    <xf numFmtId="9" fontId="4" fillId="0" borderId="5" xfId="3" applyNumberFormat="1" applyFont="1" applyFill="1" applyBorder="1" applyAlignment="1">
      <alignment horizontal="right" vertical="center" wrapText="1"/>
    </xf>
    <xf numFmtId="0" fontId="0" fillId="0" borderId="3" xfId="0" applyBorder="1" applyAlignment="1">
      <alignment horizontal="center"/>
    </xf>
    <xf numFmtId="1" fontId="4" fillId="0" borderId="5" xfId="3" applyNumberFormat="1" applyFont="1" applyBorder="1" applyAlignment="1">
      <alignment horizontal="right" vertical="top" wrapText="1"/>
    </xf>
    <xf numFmtId="1" fontId="4" fillId="0" borderId="4" xfId="3" applyNumberFormat="1" applyFont="1" applyBorder="1" applyAlignment="1">
      <alignment horizontal="right" vertical="top" wrapText="1"/>
    </xf>
    <xf numFmtId="1" fontId="4" fillId="0" borderId="30" xfId="3" applyNumberFormat="1" applyFont="1" applyBorder="1" applyAlignment="1">
      <alignment horizontal="right" vertical="top" wrapText="1"/>
    </xf>
    <xf numFmtId="1" fontId="4" fillId="0" borderId="29" xfId="3" applyNumberFormat="1" applyFont="1" applyBorder="1" applyAlignment="1">
      <alignment horizontal="right" vertical="top" wrapText="1"/>
    </xf>
    <xf numFmtId="1" fontId="4" fillId="0" borderId="32" xfId="3" applyNumberFormat="1" applyFont="1" applyBorder="1" applyAlignment="1">
      <alignment horizontal="right" vertical="top" wrapText="1"/>
    </xf>
    <xf numFmtId="1" fontId="4" fillId="0" borderId="31" xfId="3" applyNumberFormat="1" applyFont="1" applyBorder="1" applyAlignment="1">
      <alignment horizontal="right" vertical="top" wrapText="1"/>
    </xf>
    <xf numFmtId="0" fontId="4" fillId="0" borderId="12" xfId="3" applyFont="1" applyBorder="1" applyAlignment="1">
      <alignment vertical="top" wrapText="1"/>
    </xf>
    <xf numFmtId="0" fontId="4" fillId="0" borderId="11" xfId="3" applyFont="1" applyBorder="1" applyAlignment="1">
      <alignment vertical="top" wrapText="1"/>
    </xf>
    <xf numFmtId="0" fontId="4" fillId="0" borderId="16" xfId="3" applyFont="1" applyBorder="1" applyAlignment="1">
      <alignment horizontal="center" vertical="top" wrapText="1"/>
    </xf>
    <xf numFmtId="0" fontId="4" fillId="0" borderId="7" xfId="3" applyFont="1" applyBorder="1" applyAlignment="1">
      <alignment horizontal="center" vertical="top" wrapText="1"/>
    </xf>
    <xf numFmtId="0" fontId="4" fillId="0" borderId="11" xfId="3" applyFont="1" applyBorder="1" applyAlignment="1">
      <alignment horizontal="center" vertical="top" wrapText="1"/>
    </xf>
    <xf numFmtId="0" fontId="4" fillId="0" borderId="2" xfId="3" applyFont="1" applyFill="1" applyBorder="1" applyAlignment="1">
      <alignment vertical="top" wrapText="1"/>
    </xf>
    <xf numFmtId="0" fontId="5" fillId="9" borderId="14" xfId="3" applyFont="1" applyFill="1" applyBorder="1" applyAlignment="1">
      <alignment vertical="top" wrapText="1"/>
    </xf>
    <xf numFmtId="0" fontId="5" fillId="0" borderId="14" xfId="3" applyFont="1" applyBorder="1" applyAlignment="1">
      <alignment vertical="top" wrapText="1"/>
    </xf>
    <xf numFmtId="0" fontId="5" fillId="0" borderId="4" xfId="3" applyFont="1" applyBorder="1" applyAlignment="1">
      <alignment vertical="top" wrapText="1"/>
    </xf>
    <xf numFmtId="0" fontId="5" fillId="11" borderId="17" xfId="3" applyFont="1" applyFill="1" applyBorder="1" applyAlignment="1">
      <alignment vertical="top" wrapText="1"/>
    </xf>
    <xf numFmtId="0" fontId="5" fillId="11" borderId="3" xfId="3" applyFont="1" applyFill="1" applyBorder="1" applyAlignment="1">
      <alignment vertical="top" wrapText="1"/>
    </xf>
    <xf numFmtId="0" fontId="5" fillId="11" borderId="10" xfId="3" applyFont="1" applyFill="1" applyBorder="1" applyAlignment="1">
      <alignment vertical="top" wrapText="1"/>
    </xf>
    <xf numFmtId="0" fontId="5" fillId="11" borderId="16" xfId="3" applyFont="1" applyFill="1" applyBorder="1" applyAlignment="1">
      <alignment vertical="top" wrapText="1"/>
    </xf>
    <xf numFmtId="0" fontId="5" fillId="11" borderId="7" xfId="3" applyFont="1" applyFill="1" applyBorder="1" applyAlignment="1">
      <alignment vertical="top" wrapText="1"/>
    </xf>
    <xf numFmtId="0" fontId="5" fillId="11" borderId="11" xfId="3" applyFont="1" applyFill="1" applyBorder="1" applyAlignment="1">
      <alignment vertical="top" wrapText="1"/>
    </xf>
    <xf numFmtId="0" fontId="5" fillId="0" borderId="20" xfId="3" applyFont="1" applyBorder="1" applyAlignment="1">
      <alignment horizontal="center" vertical="top" wrapText="1"/>
    </xf>
    <xf numFmtId="0" fontId="5" fillId="4" borderId="24" xfId="3" applyFont="1" applyFill="1" applyBorder="1" applyAlignment="1">
      <alignment horizontal="center" vertical="top" wrapText="1"/>
    </xf>
    <xf numFmtId="0" fontId="2" fillId="0" borderId="5" xfId="3" applyFont="1" applyBorder="1" applyAlignment="1">
      <alignment horizontal="center" vertical="center" wrapText="1"/>
    </xf>
    <xf numFmtId="0" fontId="2" fillId="0" borderId="14" xfId="3" applyFont="1" applyBorder="1" applyAlignment="1">
      <alignment horizontal="center" vertical="center" wrapText="1"/>
    </xf>
    <xf numFmtId="0" fontId="2" fillId="0" borderId="4" xfId="3" applyFont="1" applyBorder="1" applyAlignment="1">
      <alignment horizontal="center" vertical="center" wrapText="1"/>
    </xf>
    <xf numFmtId="0" fontId="5" fillId="6" borderId="97" xfId="3" applyFont="1" applyFill="1" applyBorder="1" applyAlignment="1">
      <alignment vertical="top" wrapText="1"/>
    </xf>
    <xf numFmtId="0" fontId="5" fillId="6" borderId="12" xfId="3" applyFont="1" applyFill="1" applyBorder="1" applyAlignment="1">
      <alignment vertical="top" wrapText="1"/>
    </xf>
    <xf numFmtId="0" fontId="5" fillId="6" borderId="99" xfId="3" applyFont="1" applyFill="1" applyBorder="1" applyAlignment="1">
      <alignment vertical="top" wrapText="1"/>
    </xf>
    <xf numFmtId="17" fontId="5" fillId="4" borderId="5" xfId="3" applyNumberFormat="1" applyFont="1" applyFill="1" applyBorder="1" applyAlignment="1">
      <alignment horizontal="center" vertical="top" wrapText="1"/>
    </xf>
    <xf numFmtId="17" fontId="5" fillId="4" borderId="4" xfId="3" applyNumberFormat="1" applyFont="1" applyFill="1" applyBorder="1" applyAlignment="1">
      <alignment horizontal="center" vertical="top" wrapText="1"/>
    </xf>
    <xf numFmtId="0" fontId="4" fillId="8" borderId="10" xfId="3" applyFont="1" applyFill="1" applyBorder="1" applyAlignment="1">
      <alignment vertical="top" wrapText="1"/>
    </xf>
    <xf numFmtId="0" fontId="4" fillId="8" borderId="12" xfId="3" applyFont="1" applyFill="1" applyBorder="1" applyAlignment="1">
      <alignment vertical="top" wrapText="1"/>
    </xf>
    <xf numFmtId="0" fontId="4" fillId="8" borderId="89" xfId="3" applyFont="1" applyFill="1" applyBorder="1" applyAlignment="1">
      <alignment vertical="top" wrapText="1"/>
    </xf>
    <xf numFmtId="0" fontId="68" fillId="6" borderId="26" xfId="0" applyFont="1" applyFill="1" applyBorder="1" applyAlignment="1">
      <alignment horizontal="center" wrapText="1"/>
    </xf>
    <xf numFmtId="0" fontId="1" fillId="0" borderId="26" xfId="3" applyFont="1" applyFill="1" applyBorder="1" applyAlignment="1">
      <alignment vertical="center" wrapText="1"/>
    </xf>
    <xf numFmtId="0" fontId="1" fillId="0" borderId="26" xfId="3" applyFont="1" applyFill="1" applyBorder="1" applyAlignment="1">
      <alignment horizontal="left" vertical="center" wrapText="1"/>
    </xf>
    <xf numFmtId="0" fontId="4" fillId="0" borderId="26" xfId="3" applyFont="1" applyFill="1" applyBorder="1" applyAlignment="1">
      <alignment vertical="center" wrapText="1"/>
    </xf>
    <xf numFmtId="0" fontId="1" fillId="0" borderId="26" xfId="143" applyBorder="1" applyAlignment="1">
      <alignment vertical="center" wrapText="1"/>
    </xf>
    <xf numFmtId="0" fontId="49" fillId="0" borderId="76" xfId="143" applyFont="1" applyBorder="1" applyAlignment="1">
      <alignment horizontal="center" vertical="center"/>
    </xf>
    <xf numFmtId="0" fontId="5" fillId="42" borderId="72" xfId="143" applyFont="1" applyFill="1" applyBorder="1" applyAlignment="1">
      <alignment horizontal="center" vertical="center" wrapText="1"/>
    </xf>
    <xf numFmtId="0" fontId="5" fillId="42" borderId="18" xfId="143" applyFont="1" applyFill="1" applyBorder="1" applyAlignment="1">
      <alignment horizontal="center" vertical="center" wrapText="1"/>
    </xf>
    <xf numFmtId="0" fontId="5" fillId="42" borderId="72" xfId="143" applyFont="1" applyFill="1" applyBorder="1" applyAlignment="1">
      <alignment horizontal="center" vertical="center"/>
    </xf>
    <xf numFmtId="0" fontId="5" fillId="42" borderId="18" xfId="143" applyFont="1" applyFill="1" applyBorder="1" applyAlignment="1">
      <alignment horizontal="center" vertical="center"/>
    </xf>
    <xf numFmtId="0" fontId="5" fillId="42" borderId="67" xfId="143" applyFont="1" applyFill="1" applyBorder="1" applyAlignment="1">
      <alignment horizontal="center" vertical="center"/>
    </xf>
    <xf numFmtId="0" fontId="5" fillId="42" borderId="75" xfId="143" applyFont="1" applyFill="1" applyBorder="1" applyAlignment="1">
      <alignment horizontal="center" vertical="center"/>
    </xf>
    <xf numFmtId="0" fontId="51" fillId="43" borderId="68" xfId="143" applyFont="1" applyFill="1" applyBorder="1" applyAlignment="1">
      <alignment horizontal="center" vertical="center" wrapText="1"/>
    </xf>
    <xf numFmtId="0" fontId="1" fillId="0" borderId="37" xfId="143" applyBorder="1" applyAlignment="1"/>
    <xf numFmtId="0" fontId="47" fillId="0" borderId="72" xfId="143" applyFont="1" applyBorder="1" applyAlignment="1">
      <alignment horizontal="left" vertical="top" wrapText="1"/>
    </xf>
    <xf numFmtId="0" fontId="47" fillId="0" borderId="8" xfId="143" applyFont="1" applyBorder="1" applyAlignment="1">
      <alignment horizontal="left" vertical="top" wrapText="1"/>
    </xf>
    <xf numFmtId="0" fontId="47" fillId="0" borderId="76" xfId="143" applyFont="1" applyBorder="1" applyAlignment="1">
      <alignment horizontal="left" vertical="top" wrapText="1"/>
    </xf>
    <xf numFmtId="0" fontId="1" fillId="0" borderId="8" xfId="143" applyBorder="1" applyAlignment="1">
      <alignment horizontal="left" vertical="top" wrapText="1"/>
    </xf>
    <xf numFmtId="3" fontId="4" fillId="0" borderId="67" xfId="143" applyNumberFormat="1" applyFont="1" applyFill="1" applyBorder="1" applyAlignment="1">
      <alignment horizontal="left" vertical="top" wrapText="1"/>
    </xf>
    <xf numFmtId="3" fontId="4" fillId="0" borderId="75" xfId="143" applyNumberFormat="1" applyFont="1" applyFill="1" applyBorder="1" applyAlignment="1">
      <alignment horizontal="left" vertical="top" wrapText="1"/>
    </xf>
    <xf numFmtId="0" fontId="48" fillId="0" borderId="72" xfId="143" applyFont="1" applyBorder="1" applyAlignment="1">
      <alignment horizontal="center" vertical="center" wrapText="1"/>
    </xf>
    <xf numFmtId="0" fontId="48" fillId="0" borderId="8" xfId="143" applyFont="1" applyBorder="1" applyAlignment="1">
      <alignment horizontal="center" vertical="center" wrapText="1"/>
    </xf>
    <xf numFmtId="0" fontId="45" fillId="0" borderId="72" xfId="143" applyFont="1" applyBorder="1" applyAlignment="1">
      <alignment horizontal="left" vertical="center" wrapText="1"/>
    </xf>
    <xf numFmtId="0" fontId="45" fillId="0" borderId="8" xfId="143" applyFont="1" applyBorder="1" applyAlignment="1">
      <alignment horizontal="left" vertical="center" wrapText="1"/>
    </xf>
    <xf numFmtId="0" fontId="62" fillId="47" borderId="5" xfId="143" applyFont="1" applyFill="1" applyBorder="1" applyAlignment="1">
      <alignment vertical="center"/>
    </xf>
    <xf numFmtId="0" fontId="62" fillId="47" borderId="81" xfId="143" applyFont="1" applyFill="1" applyBorder="1" applyAlignment="1">
      <alignment vertical="center"/>
    </xf>
    <xf numFmtId="0" fontId="63" fillId="43" borderId="3" xfId="143" applyFont="1" applyFill="1" applyBorder="1" applyAlignment="1">
      <alignment vertical="center"/>
    </xf>
    <xf numFmtId="0" fontId="58" fillId="0" borderId="3" xfId="143" applyFont="1" applyBorder="1" applyAlignment="1">
      <alignment vertical="center" wrapText="1"/>
    </xf>
    <xf numFmtId="0" fontId="1" fillId="0" borderId="0" xfId="143" applyAlignment="1"/>
    <xf numFmtId="0" fontId="58" fillId="0" borderId="9" xfId="143" applyFont="1" applyBorder="1" applyAlignment="1">
      <alignment vertical="center" wrapText="1"/>
    </xf>
    <xf numFmtId="0" fontId="58" fillId="0" borderId="20" xfId="143" applyFont="1" applyBorder="1" applyAlignment="1">
      <alignment vertical="center" wrapText="1"/>
    </xf>
    <xf numFmtId="0" fontId="58" fillId="0" borderId="71" xfId="143" applyFont="1" applyBorder="1" applyAlignment="1">
      <alignment vertical="center" wrapText="1"/>
    </xf>
    <xf numFmtId="0" fontId="58" fillId="18" borderId="14" xfId="143" applyFont="1" applyFill="1" applyBorder="1" applyAlignment="1">
      <alignment vertical="center" wrapText="1"/>
    </xf>
    <xf numFmtId="0" fontId="58" fillId="18" borderId="4" xfId="143" applyFont="1" applyFill="1" applyBorder="1" applyAlignment="1">
      <alignment vertical="center" wrapText="1"/>
    </xf>
    <xf numFmtId="0" fontId="0" fillId="0" borderId="18"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0" fontId="0" fillId="0" borderId="50" xfId="0" applyNumberFormat="1" applyFont="1" applyFill="1" applyBorder="1" applyAlignment="1">
      <alignment horizontal="center" vertical="center"/>
    </xf>
    <xf numFmtId="0" fontId="0" fillId="0" borderId="82" xfId="0" applyNumberFormat="1" applyFont="1" applyFill="1" applyBorder="1" applyAlignment="1">
      <alignment horizontal="center" vertical="center"/>
    </xf>
    <xf numFmtId="0" fontId="0" fillId="0" borderId="85" xfId="0" applyNumberFormat="1" applyFont="1" applyFill="1" applyBorder="1" applyAlignment="1">
      <alignment horizontal="center" vertical="center"/>
    </xf>
    <xf numFmtId="0" fontId="0" fillId="0" borderId="83" xfId="0" applyNumberFormat="1" applyFont="1" applyFill="1" applyBorder="1" applyAlignment="1">
      <alignment horizontal="center" vertical="center"/>
    </xf>
    <xf numFmtId="0" fontId="0" fillId="0" borderId="69" xfId="0" applyNumberFormat="1" applyFont="1" applyFill="1" applyBorder="1" applyAlignment="1">
      <alignment horizontal="center"/>
    </xf>
    <xf numFmtId="0" fontId="0" fillId="0" borderId="75" xfId="0" applyNumberFormat="1" applyFont="1" applyFill="1" applyBorder="1" applyAlignment="1">
      <alignment horizontal="center"/>
    </xf>
    <xf numFmtId="0" fontId="9" fillId="0" borderId="26" xfId="0" applyNumberFormat="1" applyFont="1" applyFill="1" applyBorder="1" applyAlignment="1">
      <alignment horizontal="center"/>
    </xf>
    <xf numFmtId="0" fontId="9" fillId="0" borderId="76" xfId="0" applyNumberFormat="1" applyFont="1" applyFill="1" applyBorder="1" applyAlignment="1">
      <alignment horizontal="center"/>
    </xf>
    <xf numFmtId="0" fontId="0" fillId="0" borderId="26" xfId="0" applyNumberFormat="1" applyFont="1" applyFill="1" applyBorder="1" applyAlignment="1">
      <alignment horizontal="center"/>
    </xf>
    <xf numFmtId="0" fontId="0" fillId="0" borderId="76" xfId="0" applyNumberFormat="1" applyFont="1" applyFill="1" applyBorder="1" applyAlignment="1">
      <alignment horizontal="center"/>
    </xf>
    <xf numFmtId="0" fontId="9" fillId="0" borderId="53" xfId="0" applyNumberFormat="1" applyFont="1" applyFill="1" applyBorder="1" applyAlignment="1">
      <alignment horizontal="center"/>
    </xf>
    <xf numFmtId="0" fontId="9" fillId="0" borderId="36" xfId="0" applyNumberFormat="1" applyFont="1" applyFill="1" applyBorder="1" applyAlignment="1">
      <alignment horizontal="center"/>
    </xf>
    <xf numFmtId="0" fontId="9" fillId="0" borderId="44" xfId="0" applyNumberFormat="1" applyFont="1" applyFill="1" applyBorder="1" applyAlignment="1">
      <alignment horizontal="center"/>
    </xf>
    <xf numFmtId="0" fontId="9" fillId="0" borderId="39" xfId="0" applyNumberFormat="1" applyFont="1" applyFill="1" applyBorder="1" applyAlignment="1">
      <alignment horizontal="center"/>
    </xf>
    <xf numFmtId="0" fontId="9" fillId="0" borderId="40" xfId="0" applyNumberFormat="1" applyFont="1" applyFill="1" applyBorder="1" applyAlignment="1">
      <alignment horizontal="center"/>
    </xf>
    <xf numFmtId="0" fontId="9" fillId="0" borderId="45" xfId="0" applyNumberFormat="1" applyFont="1" applyFill="1" applyBorder="1" applyAlignment="1">
      <alignment horizontal="center"/>
    </xf>
    <xf numFmtId="0" fontId="9" fillId="0" borderId="46" xfId="0" applyNumberFormat="1" applyFont="1" applyFill="1" applyBorder="1" applyAlignment="1">
      <alignment horizontal="center"/>
    </xf>
    <xf numFmtId="0" fontId="9" fillId="0" borderId="47" xfId="0" applyNumberFormat="1" applyFont="1" applyFill="1" applyBorder="1" applyAlignment="1">
      <alignment horizontal="center"/>
    </xf>
    <xf numFmtId="0" fontId="9" fillId="5" borderId="26" xfId="0" applyNumberFormat="1" applyFont="1" applyFill="1" applyBorder="1" applyAlignment="1">
      <alignment horizontal="center"/>
    </xf>
    <xf numFmtId="0" fontId="9" fillId="5" borderId="76" xfId="0" applyNumberFormat="1" applyFont="1" applyFill="1" applyBorder="1" applyAlignment="1">
      <alignment horizontal="center"/>
    </xf>
    <xf numFmtId="0" fontId="9" fillId="15" borderId="26" xfId="0" applyNumberFormat="1" applyFont="1" applyFill="1" applyBorder="1" applyAlignment="1">
      <alignment horizontal="center"/>
    </xf>
    <xf numFmtId="0" fontId="9" fillId="15" borderId="76" xfId="0" applyNumberFormat="1" applyFont="1" applyFill="1" applyBorder="1" applyAlignment="1">
      <alignment horizontal="center"/>
    </xf>
    <xf numFmtId="0" fontId="9" fillId="5" borderId="54" xfId="0" applyNumberFormat="1" applyFont="1" applyFill="1" applyBorder="1" applyAlignment="1">
      <alignment horizontal="center"/>
    </xf>
    <xf numFmtId="0" fontId="9" fillId="5" borderId="55" xfId="0" applyNumberFormat="1" applyFont="1" applyFill="1" applyBorder="1" applyAlignment="1">
      <alignment horizontal="center"/>
    </xf>
    <xf numFmtId="0" fontId="9" fillId="5" borderId="34" xfId="0" applyNumberFormat="1" applyFont="1" applyFill="1" applyBorder="1" applyAlignment="1">
      <alignment horizontal="center"/>
    </xf>
    <xf numFmtId="0" fontId="9" fillId="5" borderId="69" xfId="0" applyNumberFormat="1" applyFont="1" applyFill="1" applyBorder="1" applyAlignment="1">
      <alignment horizontal="center"/>
    </xf>
    <xf numFmtId="0" fontId="9" fillId="15" borderId="54" xfId="0" applyNumberFormat="1" applyFont="1" applyFill="1" applyBorder="1" applyAlignment="1">
      <alignment horizontal="center"/>
    </xf>
    <xf numFmtId="0" fontId="9" fillId="15" borderId="55" xfId="0" applyNumberFormat="1" applyFont="1" applyFill="1" applyBorder="1" applyAlignment="1">
      <alignment horizontal="center"/>
    </xf>
    <xf numFmtId="0" fontId="9" fillId="15" borderId="34" xfId="0" applyNumberFormat="1" applyFont="1" applyFill="1" applyBorder="1" applyAlignment="1">
      <alignment horizontal="center"/>
    </xf>
    <xf numFmtId="0" fontId="9" fillId="15" borderId="69" xfId="0" applyNumberFormat="1" applyFont="1" applyFill="1" applyBorder="1" applyAlignment="1">
      <alignment horizontal="center"/>
    </xf>
    <xf numFmtId="0" fontId="4" fillId="8" borderId="26" xfId="3" applyFont="1" applyFill="1" applyBorder="1" applyAlignment="1">
      <alignment vertical="top" wrapText="1"/>
    </xf>
    <xf numFmtId="0" fontId="0" fillId="13" borderId="94" xfId="0" applyFill="1" applyBorder="1" applyAlignment="1">
      <alignment horizontal="center"/>
    </xf>
    <xf numFmtId="0" fontId="0" fillId="13" borderId="95" xfId="0" applyFill="1" applyBorder="1" applyAlignment="1">
      <alignment horizontal="center"/>
    </xf>
    <xf numFmtId="0" fontId="0" fillId="13" borderId="96" xfId="0" applyFill="1" applyBorder="1" applyAlignment="1">
      <alignment horizontal="center"/>
    </xf>
    <xf numFmtId="0" fontId="9" fillId="0" borderId="17" xfId="0" applyFont="1" applyBorder="1" applyAlignment="1">
      <alignment horizontal="left"/>
    </xf>
    <xf numFmtId="0" fontId="9" fillId="0" borderId="3" xfId="0" applyFont="1" applyBorder="1" applyAlignment="1">
      <alignment horizontal="left"/>
    </xf>
    <xf numFmtId="0" fontId="9" fillId="0" borderId="10" xfId="0" applyFont="1" applyBorder="1" applyAlignment="1">
      <alignment horizontal="left"/>
    </xf>
    <xf numFmtId="0" fontId="4" fillId="0" borderId="26" xfId="3" applyFont="1" applyFill="1" applyBorder="1" applyAlignment="1">
      <alignment vertical="top" wrapText="1"/>
    </xf>
    <xf numFmtId="0" fontId="4" fillId="8" borderId="76" xfId="3" applyFont="1" applyFill="1" applyBorder="1" applyAlignment="1">
      <alignment vertical="top" wrapText="1"/>
    </xf>
    <xf numFmtId="0" fontId="4" fillId="8" borderId="6" xfId="3" applyFont="1" applyFill="1" applyBorder="1" applyAlignment="1">
      <alignment horizontal="left" vertical="top" wrapText="1"/>
    </xf>
    <xf numFmtId="0" fontId="4" fillId="8" borderId="18" xfId="3" applyFont="1" applyFill="1" applyBorder="1" applyAlignment="1">
      <alignment horizontal="left" vertical="top" wrapText="1"/>
    </xf>
    <xf numFmtId="0" fontId="9" fillId="17" borderId="78" xfId="0" applyFont="1" applyFill="1" applyBorder="1" applyAlignment="1">
      <alignment horizontal="left" vertical="top" wrapText="1"/>
    </xf>
    <xf numFmtId="0" fontId="0" fillId="17" borderId="91" xfId="0" applyFill="1" applyBorder="1" applyAlignment="1">
      <alignment horizontal="left" vertical="top" wrapText="1"/>
    </xf>
    <xf numFmtId="0" fontId="0" fillId="17" borderId="92" xfId="0" applyFill="1" applyBorder="1" applyAlignment="1">
      <alignment horizontal="left" vertical="top" wrapText="1"/>
    </xf>
    <xf numFmtId="0" fontId="0" fillId="17" borderId="90" xfId="0" applyFill="1" applyBorder="1" applyAlignment="1">
      <alignment horizontal="left" vertical="top" wrapText="1"/>
    </xf>
    <xf numFmtId="0" fontId="0" fillId="17" borderId="0" xfId="0" applyFill="1" applyBorder="1" applyAlignment="1">
      <alignment horizontal="left" vertical="top" wrapText="1"/>
    </xf>
    <xf numFmtId="0" fontId="0" fillId="17" borderId="12" xfId="0" applyFill="1" applyBorder="1" applyAlignment="1">
      <alignment horizontal="left" vertical="top" wrapText="1"/>
    </xf>
    <xf numFmtId="0" fontId="0" fillId="17" borderId="93" xfId="0" applyFill="1" applyBorder="1" applyAlignment="1">
      <alignment horizontal="left" vertical="top" wrapText="1"/>
    </xf>
    <xf numFmtId="0" fontId="0" fillId="17" borderId="88" xfId="0" applyFill="1" applyBorder="1" applyAlignment="1">
      <alignment horizontal="left" vertical="top" wrapText="1"/>
    </xf>
    <xf numFmtId="0" fontId="0" fillId="17" borderId="89" xfId="0" applyFill="1" applyBorder="1" applyAlignment="1">
      <alignment horizontal="left" vertical="top" wrapText="1"/>
    </xf>
    <xf numFmtId="0" fontId="11" fillId="0" borderId="17" xfId="4" applyFont="1" applyBorder="1" applyAlignment="1">
      <alignment vertical="center" wrapText="1"/>
    </xf>
    <xf numFmtId="0" fontId="11" fillId="0" borderId="3" xfId="4" applyFont="1" applyBorder="1" applyAlignment="1">
      <alignment vertical="center" wrapText="1"/>
    </xf>
    <xf numFmtId="0" fontId="11" fillId="0" borderId="0" xfId="4" applyFont="1" applyBorder="1" applyAlignment="1">
      <alignment vertical="center" wrapText="1"/>
    </xf>
    <xf numFmtId="0" fontId="11" fillId="0" borderId="2" xfId="4" applyFont="1" applyBorder="1" applyAlignment="1">
      <alignment vertical="center" wrapText="1"/>
    </xf>
    <xf numFmtId="0" fontId="12" fillId="0" borderId="0" xfId="4" applyFont="1"/>
    <xf numFmtId="0" fontId="12" fillId="0" borderId="5" xfId="4" applyFont="1" applyBorder="1" applyAlignment="1">
      <alignment vertical="top" wrapText="1"/>
    </xf>
    <xf numFmtId="0" fontId="12" fillId="0" borderId="14" xfId="4" applyFont="1" applyBorder="1" applyAlignment="1">
      <alignment vertical="top" wrapText="1"/>
    </xf>
    <xf numFmtId="0" fontId="12" fillId="0" borderId="4" xfId="4" applyFont="1" applyBorder="1" applyAlignment="1">
      <alignment vertical="top" wrapText="1"/>
    </xf>
    <xf numFmtId="0" fontId="11" fillId="0" borderId="17" xfId="4" applyFont="1" applyBorder="1" applyAlignment="1">
      <alignment horizontal="left" vertical="top" wrapText="1"/>
    </xf>
    <xf numFmtId="0" fontId="11" fillId="0" borderId="3" xfId="4" applyFont="1" applyBorder="1" applyAlignment="1">
      <alignment horizontal="left" vertical="top" wrapText="1"/>
    </xf>
    <xf numFmtId="0" fontId="11" fillId="0" borderId="10" xfId="4" applyFont="1" applyBorder="1" applyAlignment="1">
      <alignment horizontal="left" vertical="top" wrapText="1"/>
    </xf>
    <xf numFmtId="0" fontId="11" fillId="0" borderId="17" xfId="4" applyFont="1" applyBorder="1" applyAlignment="1">
      <alignment horizontal="center" vertical="center" wrapText="1"/>
    </xf>
    <xf numFmtId="0" fontId="11" fillId="0" borderId="3" xfId="4" applyFont="1" applyBorder="1" applyAlignment="1">
      <alignment horizontal="center" vertical="center" wrapText="1"/>
    </xf>
    <xf numFmtId="0" fontId="11" fillId="0" borderId="10" xfId="4" applyFont="1" applyBorder="1" applyAlignment="1">
      <alignment horizontal="center" vertical="center" wrapText="1"/>
    </xf>
  </cellXfs>
  <cellStyles count="3204">
    <cellStyle name="_TB_subtitle2" xfId="9" xr:uid="{00000000-0005-0000-0000-000000000000}"/>
    <cellStyle name="20 % - Accent1 10" xfId="738" xr:uid="{00000000-0005-0000-0000-000001000000}"/>
    <cellStyle name="20 % - Accent1 11" xfId="739" xr:uid="{00000000-0005-0000-0000-000002000000}"/>
    <cellStyle name="20 % - Accent1 12" xfId="740" xr:uid="{00000000-0005-0000-0000-000003000000}"/>
    <cellStyle name="20 % - Accent1 13" xfId="741" xr:uid="{00000000-0005-0000-0000-000004000000}"/>
    <cellStyle name="20 % - Accent1 14" xfId="742" xr:uid="{00000000-0005-0000-0000-000005000000}"/>
    <cellStyle name="20 % - Accent1 15" xfId="743" xr:uid="{00000000-0005-0000-0000-000006000000}"/>
    <cellStyle name="20 % - Accent1 16" xfId="744" xr:uid="{00000000-0005-0000-0000-000007000000}"/>
    <cellStyle name="20 % - Accent1 17" xfId="745" xr:uid="{00000000-0005-0000-0000-000008000000}"/>
    <cellStyle name="20 % - Accent1 18" xfId="746" xr:uid="{00000000-0005-0000-0000-000009000000}"/>
    <cellStyle name="20 % - Accent1 19" xfId="747" xr:uid="{00000000-0005-0000-0000-00000A000000}"/>
    <cellStyle name="20 % - Accent1 2" xfId="10" xr:uid="{00000000-0005-0000-0000-00000B000000}"/>
    <cellStyle name="20 % - Accent1 2 2" xfId="11" xr:uid="{00000000-0005-0000-0000-00000C000000}"/>
    <cellStyle name="20 % - Accent1 20" xfId="748" xr:uid="{00000000-0005-0000-0000-00000D000000}"/>
    <cellStyle name="20 % - Accent1 21" xfId="749" xr:uid="{00000000-0005-0000-0000-00000E000000}"/>
    <cellStyle name="20 % - Accent1 22" xfId="750" xr:uid="{00000000-0005-0000-0000-00000F000000}"/>
    <cellStyle name="20 % - Accent1 23" xfId="751" xr:uid="{00000000-0005-0000-0000-000010000000}"/>
    <cellStyle name="20 % - Accent1 24" xfId="752" xr:uid="{00000000-0005-0000-0000-000011000000}"/>
    <cellStyle name="20 % - Accent1 25" xfId="737" xr:uid="{00000000-0005-0000-0000-000012000000}"/>
    <cellStyle name="20 % - Accent1 3" xfId="753" xr:uid="{00000000-0005-0000-0000-000013000000}"/>
    <cellStyle name="20 % - Accent1 4" xfId="754" xr:uid="{00000000-0005-0000-0000-000014000000}"/>
    <cellStyle name="20 % - Accent1 5" xfId="755" xr:uid="{00000000-0005-0000-0000-000015000000}"/>
    <cellStyle name="20 % - Accent1 6" xfId="756" xr:uid="{00000000-0005-0000-0000-000016000000}"/>
    <cellStyle name="20 % - Accent1 7" xfId="757" xr:uid="{00000000-0005-0000-0000-000017000000}"/>
    <cellStyle name="20 % - Accent1 8" xfId="758" xr:uid="{00000000-0005-0000-0000-000018000000}"/>
    <cellStyle name="20 % - Accent1 9" xfId="759" xr:uid="{00000000-0005-0000-0000-000019000000}"/>
    <cellStyle name="20 % - Accent2 10" xfId="761" xr:uid="{00000000-0005-0000-0000-00001A000000}"/>
    <cellStyle name="20 % - Accent2 11" xfId="762" xr:uid="{00000000-0005-0000-0000-00001B000000}"/>
    <cellStyle name="20 % - Accent2 12" xfId="763" xr:uid="{00000000-0005-0000-0000-00001C000000}"/>
    <cellStyle name="20 % - Accent2 13" xfId="764" xr:uid="{00000000-0005-0000-0000-00001D000000}"/>
    <cellStyle name="20 % - Accent2 14" xfId="765" xr:uid="{00000000-0005-0000-0000-00001E000000}"/>
    <cellStyle name="20 % - Accent2 15" xfId="766" xr:uid="{00000000-0005-0000-0000-00001F000000}"/>
    <cellStyle name="20 % - Accent2 16" xfId="767" xr:uid="{00000000-0005-0000-0000-000020000000}"/>
    <cellStyle name="20 % - Accent2 17" xfId="768" xr:uid="{00000000-0005-0000-0000-000021000000}"/>
    <cellStyle name="20 % - Accent2 18" xfId="769" xr:uid="{00000000-0005-0000-0000-000022000000}"/>
    <cellStyle name="20 % - Accent2 19" xfId="770" xr:uid="{00000000-0005-0000-0000-000023000000}"/>
    <cellStyle name="20 % - Accent2 2" xfId="12" xr:uid="{00000000-0005-0000-0000-000024000000}"/>
    <cellStyle name="20 % - Accent2 2 2" xfId="13" xr:uid="{00000000-0005-0000-0000-000025000000}"/>
    <cellStyle name="20 % - Accent2 20" xfId="771" xr:uid="{00000000-0005-0000-0000-000026000000}"/>
    <cellStyle name="20 % - Accent2 21" xfId="772" xr:uid="{00000000-0005-0000-0000-000027000000}"/>
    <cellStyle name="20 % - Accent2 22" xfId="773" xr:uid="{00000000-0005-0000-0000-000028000000}"/>
    <cellStyle name="20 % - Accent2 23" xfId="774" xr:uid="{00000000-0005-0000-0000-000029000000}"/>
    <cellStyle name="20 % - Accent2 24" xfId="775" xr:uid="{00000000-0005-0000-0000-00002A000000}"/>
    <cellStyle name="20 % - Accent2 25" xfId="760" xr:uid="{00000000-0005-0000-0000-00002B000000}"/>
    <cellStyle name="20 % - Accent2 3" xfId="776" xr:uid="{00000000-0005-0000-0000-00002C000000}"/>
    <cellStyle name="20 % - Accent2 4" xfId="777" xr:uid="{00000000-0005-0000-0000-00002D000000}"/>
    <cellStyle name="20 % - Accent2 5" xfId="778" xr:uid="{00000000-0005-0000-0000-00002E000000}"/>
    <cellStyle name="20 % - Accent2 6" xfId="779" xr:uid="{00000000-0005-0000-0000-00002F000000}"/>
    <cellStyle name="20 % - Accent2 7" xfId="780" xr:uid="{00000000-0005-0000-0000-000030000000}"/>
    <cellStyle name="20 % - Accent2 8" xfId="781" xr:uid="{00000000-0005-0000-0000-000031000000}"/>
    <cellStyle name="20 % - Accent2 9" xfId="782" xr:uid="{00000000-0005-0000-0000-000032000000}"/>
    <cellStyle name="20 % - Accent3 10" xfId="784" xr:uid="{00000000-0005-0000-0000-000033000000}"/>
    <cellStyle name="20 % - Accent3 11" xfId="785" xr:uid="{00000000-0005-0000-0000-000034000000}"/>
    <cellStyle name="20 % - Accent3 12" xfId="786" xr:uid="{00000000-0005-0000-0000-000035000000}"/>
    <cellStyle name="20 % - Accent3 13" xfId="787" xr:uid="{00000000-0005-0000-0000-000036000000}"/>
    <cellStyle name="20 % - Accent3 14" xfId="788" xr:uid="{00000000-0005-0000-0000-000037000000}"/>
    <cellStyle name="20 % - Accent3 15" xfId="789" xr:uid="{00000000-0005-0000-0000-000038000000}"/>
    <cellStyle name="20 % - Accent3 16" xfId="790" xr:uid="{00000000-0005-0000-0000-000039000000}"/>
    <cellStyle name="20 % - Accent3 17" xfId="791" xr:uid="{00000000-0005-0000-0000-00003A000000}"/>
    <cellStyle name="20 % - Accent3 18" xfId="792" xr:uid="{00000000-0005-0000-0000-00003B000000}"/>
    <cellStyle name="20 % - Accent3 19" xfId="793" xr:uid="{00000000-0005-0000-0000-00003C000000}"/>
    <cellStyle name="20 % - Accent3 2" xfId="14" xr:uid="{00000000-0005-0000-0000-00003D000000}"/>
    <cellStyle name="20 % - Accent3 2 2" xfId="15" xr:uid="{00000000-0005-0000-0000-00003E000000}"/>
    <cellStyle name="20 % - Accent3 20" xfId="794" xr:uid="{00000000-0005-0000-0000-00003F000000}"/>
    <cellStyle name="20 % - Accent3 21" xfId="795" xr:uid="{00000000-0005-0000-0000-000040000000}"/>
    <cellStyle name="20 % - Accent3 22" xfId="796" xr:uid="{00000000-0005-0000-0000-000041000000}"/>
    <cellStyle name="20 % - Accent3 23" xfId="797" xr:uid="{00000000-0005-0000-0000-000042000000}"/>
    <cellStyle name="20 % - Accent3 24" xfId="798" xr:uid="{00000000-0005-0000-0000-000043000000}"/>
    <cellStyle name="20 % - Accent3 25" xfId="783" xr:uid="{00000000-0005-0000-0000-000044000000}"/>
    <cellStyle name="20 % - Accent3 3" xfId="799" xr:uid="{00000000-0005-0000-0000-000045000000}"/>
    <cellStyle name="20 % - Accent3 4" xfId="800" xr:uid="{00000000-0005-0000-0000-000046000000}"/>
    <cellStyle name="20 % - Accent3 5" xfId="801" xr:uid="{00000000-0005-0000-0000-000047000000}"/>
    <cellStyle name="20 % - Accent3 6" xfId="802" xr:uid="{00000000-0005-0000-0000-000048000000}"/>
    <cellStyle name="20 % - Accent3 7" xfId="803" xr:uid="{00000000-0005-0000-0000-000049000000}"/>
    <cellStyle name="20 % - Accent3 8" xfId="804" xr:uid="{00000000-0005-0000-0000-00004A000000}"/>
    <cellStyle name="20 % - Accent3 9" xfId="805" xr:uid="{00000000-0005-0000-0000-00004B000000}"/>
    <cellStyle name="20 % - Accent4 10" xfId="807" xr:uid="{00000000-0005-0000-0000-00004C000000}"/>
    <cellStyle name="20 % - Accent4 11" xfId="808" xr:uid="{00000000-0005-0000-0000-00004D000000}"/>
    <cellStyle name="20 % - Accent4 12" xfId="809" xr:uid="{00000000-0005-0000-0000-00004E000000}"/>
    <cellStyle name="20 % - Accent4 13" xfId="810" xr:uid="{00000000-0005-0000-0000-00004F000000}"/>
    <cellStyle name="20 % - Accent4 14" xfId="811" xr:uid="{00000000-0005-0000-0000-000050000000}"/>
    <cellStyle name="20 % - Accent4 15" xfId="812" xr:uid="{00000000-0005-0000-0000-000051000000}"/>
    <cellStyle name="20 % - Accent4 16" xfId="813" xr:uid="{00000000-0005-0000-0000-000052000000}"/>
    <cellStyle name="20 % - Accent4 17" xfId="814" xr:uid="{00000000-0005-0000-0000-000053000000}"/>
    <cellStyle name="20 % - Accent4 18" xfId="815" xr:uid="{00000000-0005-0000-0000-000054000000}"/>
    <cellStyle name="20 % - Accent4 19" xfId="816" xr:uid="{00000000-0005-0000-0000-000055000000}"/>
    <cellStyle name="20 % - Accent4 2" xfId="16" xr:uid="{00000000-0005-0000-0000-000056000000}"/>
    <cellStyle name="20 % - Accent4 2 2" xfId="17" xr:uid="{00000000-0005-0000-0000-000057000000}"/>
    <cellStyle name="20 % - Accent4 20" xfId="817" xr:uid="{00000000-0005-0000-0000-000058000000}"/>
    <cellStyle name="20 % - Accent4 21" xfId="818" xr:uid="{00000000-0005-0000-0000-000059000000}"/>
    <cellStyle name="20 % - Accent4 22" xfId="819" xr:uid="{00000000-0005-0000-0000-00005A000000}"/>
    <cellStyle name="20 % - Accent4 23" xfId="820" xr:uid="{00000000-0005-0000-0000-00005B000000}"/>
    <cellStyle name="20 % - Accent4 24" xfId="821" xr:uid="{00000000-0005-0000-0000-00005C000000}"/>
    <cellStyle name="20 % - Accent4 25" xfId="806" xr:uid="{00000000-0005-0000-0000-00005D000000}"/>
    <cellStyle name="20 % - Accent4 3" xfId="822" xr:uid="{00000000-0005-0000-0000-00005E000000}"/>
    <cellStyle name="20 % - Accent4 4" xfId="823" xr:uid="{00000000-0005-0000-0000-00005F000000}"/>
    <cellStyle name="20 % - Accent4 5" xfId="824" xr:uid="{00000000-0005-0000-0000-000060000000}"/>
    <cellStyle name="20 % - Accent4 6" xfId="825" xr:uid="{00000000-0005-0000-0000-000061000000}"/>
    <cellStyle name="20 % - Accent4 7" xfId="826" xr:uid="{00000000-0005-0000-0000-000062000000}"/>
    <cellStyle name="20 % - Accent4 8" xfId="827" xr:uid="{00000000-0005-0000-0000-000063000000}"/>
    <cellStyle name="20 % - Accent4 9" xfId="828" xr:uid="{00000000-0005-0000-0000-000064000000}"/>
    <cellStyle name="20 % - Accent5 10" xfId="830" xr:uid="{00000000-0005-0000-0000-000065000000}"/>
    <cellStyle name="20 % - Accent5 11" xfId="831" xr:uid="{00000000-0005-0000-0000-000066000000}"/>
    <cellStyle name="20 % - Accent5 12" xfId="832" xr:uid="{00000000-0005-0000-0000-000067000000}"/>
    <cellStyle name="20 % - Accent5 13" xfId="833" xr:uid="{00000000-0005-0000-0000-000068000000}"/>
    <cellStyle name="20 % - Accent5 14" xfId="834" xr:uid="{00000000-0005-0000-0000-000069000000}"/>
    <cellStyle name="20 % - Accent5 15" xfId="835" xr:uid="{00000000-0005-0000-0000-00006A000000}"/>
    <cellStyle name="20 % - Accent5 16" xfId="836" xr:uid="{00000000-0005-0000-0000-00006B000000}"/>
    <cellStyle name="20 % - Accent5 17" xfId="837" xr:uid="{00000000-0005-0000-0000-00006C000000}"/>
    <cellStyle name="20 % - Accent5 18" xfId="838" xr:uid="{00000000-0005-0000-0000-00006D000000}"/>
    <cellStyle name="20 % - Accent5 19" xfId="839" xr:uid="{00000000-0005-0000-0000-00006E000000}"/>
    <cellStyle name="20 % - Accent5 2" xfId="18" xr:uid="{00000000-0005-0000-0000-00006F000000}"/>
    <cellStyle name="20 % - Accent5 2 2" xfId="19" xr:uid="{00000000-0005-0000-0000-000070000000}"/>
    <cellStyle name="20 % - Accent5 20" xfId="840" xr:uid="{00000000-0005-0000-0000-000071000000}"/>
    <cellStyle name="20 % - Accent5 21" xfId="841" xr:uid="{00000000-0005-0000-0000-000072000000}"/>
    <cellStyle name="20 % - Accent5 22" xfId="842" xr:uid="{00000000-0005-0000-0000-000073000000}"/>
    <cellStyle name="20 % - Accent5 23" xfId="843" xr:uid="{00000000-0005-0000-0000-000074000000}"/>
    <cellStyle name="20 % - Accent5 24" xfId="844" xr:uid="{00000000-0005-0000-0000-000075000000}"/>
    <cellStyle name="20 % - Accent5 25" xfId="829" xr:uid="{00000000-0005-0000-0000-000076000000}"/>
    <cellStyle name="20 % - Accent5 3" xfId="845" xr:uid="{00000000-0005-0000-0000-000077000000}"/>
    <cellStyle name="20 % - Accent5 4" xfId="846" xr:uid="{00000000-0005-0000-0000-000078000000}"/>
    <cellStyle name="20 % - Accent5 5" xfId="847" xr:uid="{00000000-0005-0000-0000-000079000000}"/>
    <cellStyle name="20 % - Accent5 6" xfId="848" xr:uid="{00000000-0005-0000-0000-00007A000000}"/>
    <cellStyle name="20 % - Accent5 7" xfId="849" xr:uid="{00000000-0005-0000-0000-00007B000000}"/>
    <cellStyle name="20 % - Accent5 8" xfId="850" xr:uid="{00000000-0005-0000-0000-00007C000000}"/>
    <cellStyle name="20 % - Accent5 9" xfId="851" xr:uid="{00000000-0005-0000-0000-00007D000000}"/>
    <cellStyle name="20 % - Accent6 10" xfId="853" xr:uid="{00000000-0005-0000-0000-00007E000000}"/>
    <cellStyle name="20 % - Accent6 11" xfId="854" xr:uid="{00000000-0005-0000-0000-00007F000000}"/>
    <cellStyle name="20 % - Accent6 12" xfId="855" xr:uid="{00000000-0005-0000-0000-000080000000}"/>
    <cellStyle name="20 % - Accent6 13" xfId="856" xr:uid="{00000000-0005-0000-0000-000081000000}"/>
    <cellStyle name="20 % - Accent6 14" xfId="857" xr:uid="{00000000-0005-0000-0000-000082000000}"/>
    <cellStyle name="20 % - Accent6 15" xfId="858" xr:uid="{00000000-0005-0000-0000-000083000000}"/>
    <cellStyle name="20 % - Accent6 16" xfId="859" xr:uid="{00000000-0005-0000-0000-000084000000}"/>
    <cellStyle name="20 % - Accent6 17" xfId="860" xr:uid="{00000000-0005-0000-0000-000085000000}"/>
    <cellStyle name="20 % - Accent6 18" xfId="861" xr:uid="{00000000-0005-0000-0000-000086000000}"/>
    <cellStyle name="20 % - Accent6 19" xfId="862" xr:uid="{00000000-0005-0000-0000-000087000000}"/>
    <cellStyle name="20 % - Accent6 2" xfId="20" xr:uid="{00000000-0005-0000-0000-000088000000}"/>
    <cellStyle name="20 % - Accent6 2 2" xfId="21" xr:uid="{00000000-0005-0000-0000-000089000000}"/>
    <cellStyle name="20 % - Accent6 20" xfId="863" xr:uid="{00000000-0005-0000-0000-00008A000000}"/>
    <cellStyle name="20 % - Accent6 21" xfId="864" xr:uid="{00000000-0005-0000-0000-00008B000000}"/>
    <cellStyle name="20 % - Accent6 22" xfId="865" xr:uid="{00000000-0005-0000-0000-00008C000000}"/>
    <cellStyle name="20 % - Accent6 23" xfId="866" xr:uid="{00000000-0005-0000-0000-00008D000000}"/>
    <cellStyle name="20 % - Accent6 24" xfId="867" xr:uid="{00000000-0005-0000-0000-00008E000000}"/>
    <cellStyle name="20 % - Accent6 25" xfId="852" xr:uid="{00000000-0005-0000-0000-00008F000000}"/>
    <cellStyle name="20 % - Accent6 3" xfId="868" xr:uid="{00000000-0005-0000-0000-000090000000}"/>
    <cellStyle name="20 % - Accent6 4" xfId="869" xr:uid="{00000000-0005-0000-0000-000091000000}"/>
    <cellStyle name="20 % - Accent6 5" xfId="870" xr:uid="{00000000-0005-0000-0000-000092000000}"/>
    <cellStyle name="20 % - Accent6 6" xfId="871" xr:uid="{00000000-0005-0000-0000-000093000000}"/>
    <cellStyle name="20 % - Accent6 7" xfId="872" xr:uid="{00000000-0005-0000-0000-000094000000}"/>
    <cellStyle name="20 % - Accent6 8" xfId="873" xr:uid="{00000000-0005-0000-0000-000095000000}"/>
    <cellStyle name="20 % - Accent6 9" xfId="874" xr:uid="{00000000-0005-0000-0000-000096000000}"/>
    <cellStyle name="40 % - Accent1 10" xfId="876" xr:uid="{00000000-0005-0000-0000-000097000000}"/>
    <cellStyle name="40 % - Accent1 11" xfId="877" xr:uid="{00000000-0005-0000-0000-000098000000}"/>
    <cellStyle name="40 % - Accent1 12" xfId="878" xr:uid="{00000000-0005-0000-0000-000099000000}"/>
    <cellStyle name="40 % - Accent1 13" xfId="879" xr:uid="{00000000-0005-0000-0000-00009A000000}"/>
    <cellStyle name="40 % - Accent1 14" xfId="880" xr:uid="{00000000-0005-0000-0000-00009B000000}"/>
    <cellStyle name="40 % - Accent1 15" xfId="881" xr:uid="{00000000-0005-0000-0000-00009C000000}"/>
    <cellStyle name="40 % - Accent1 16" xfId="882" xr:uid="{00000000-0005-0000-0000-00009D000000}"/>
    <cellStyle name="40 % - Accent1 17" xfId="883" xr:uid="{00000000-0005-0000-0000-00009E000000}"/>
    <cellStyle name="40 % - Accent1 18" xfId="884" xr:uid="{00000000-0005-0000-0000-00009F000000}"/>
    <cellStyle name="40 % - Accent1 19" xfId="885" xr:uid="{00000000-0005-0000-0000-0000A0000000}"/>
    <cellStyle name="40 % - Accent1 2" xfId="22" xr:uid="{00000000-0005-0000-0000-0000A1000000}"/>
    <cellStyle name="40 % - Accent1 2 2" xfId="23" xr:uid="{00000000-0005-0000-0000-0000A2000000}"/>
    <cellStyle name="40 % - Accent1 20" xfId="886" xr:uid="{00000000-0005-0000-0000-0000A3000000}"/>
    <cellStyle name="40 % - Accent1 21" xfId="887" xr:uid="{00000000-0005-0000-0000-0000A4000000}"/>
    <cellStyle name="40 % - Accent1 22" xfId="888" xr:uid="{00000000-0005-0000-0000-0000A5000000}"/>
    <cellStyle name="40 % - Accent1 23" xfId="889" xr:uid="{00000000-0005-0000-0000-0000A6000000}"/>
    <cellStyle name="40 % - Accent1 24" xfId="890" xr:uid="{00000000-0005-0000-0000-0000A7000000}"/>
    <cellStyle name="40 % - Accent1 25" xfId="875" xr:uid="{00000000-0005-0000-0000-0000A8000000}"/>
    <cellStyle name="40 % - Accent1 3" xfId="891" xr:uid="{00000000-0005-0000-0000-0000A9000000}"/>
    <cellStyle name="40 % - Accent1 4" xfId="892" xr:uid="{00000000-0005-0000-0000-0000AA000000}"/>
    <cellStyle name="40 % - Accent1 5" xfId="893" xr:uid="{00000000-0005-0000-0000-0000AB000000}"/>
    <cellStyle name="40 % - Accent1 6" xfId="894" xr:uid="{00000000-0005-0000-0000-0000AC000000}"/>
    <cellStyle name="40 % - Accent1 7" xfId="895" xr:uid="{00000000-0005-0000-0000-0000AD000000}"/>
    <cellStyle name="40 % - Accent1 8" xfId="896" xr:uid="{00000000-0005-0000-0000-0000AE000000}"/>
    <cellStyle name="40 % - Accent1 9" xfId="897" xr:uid="{00000000-0005-0000-0000-0000AF000000}"/>
    <cellStyle name="40 % - Accent2 10" xfId="899" xr:uid="{00000000-0005-0000-0000-0000B0000000}"/>
    <cellStyle name="40 % - Accent2 11" xfId="900" xr:uid="{00000000-0005-0000-0000-0000B1000000}"/>
    <cellStyle name="40 % - Accent2 12" xfId="901" xr:uid="{00000000-0005-0000-0000-0000B2000000}"/>
    <cellStyle name="40 % - Accent2 13" xfId="902" xr:uid="{00000000-0005-0000-0000-0000B3000000}"/>
    <cellStyle name="40 % - Accent2 14" xfId="903" xr:uid="{00000000-0005-0000-0000-0000B4000000}"/>
    <cellStyle name="40 % - Accent2 15" xfId="904" xr:uid="{00000000-0005-0000-0000-0000B5000000}"/>
    <cellStyle name="40 % - Accent2 16" xfId="905" xr:uid="{00000000-0005-0000-0000-0000B6000000}"/>
    <cellStyle name="40 % - Accent2 17" xfId="906" xr:uid="{00000000-0005-0000-0000-0000B7000000}"/>
    <cellStyle name="40 % - Accent2 18" xfId="907" xr:uid="{00000000-0005-0000-0000-0000B8000000}"/>
    <cellStyle name="40 % - Accent2 19" xfId="908" xr:uid="{00000000-0005-0000-0000-0000B9000000}"/>
    <cellStyle name="40 % - Accent2 2" xfId="24" xr:uid="{00000000-0005-0000-0000-0000BA000000}"/>
    <cellStyle name="40 % - Accent2 2 2" xfId="25" xr:uid="{00000000-0005-0000-0000-0000BB000000}"/>
    <cellStyle name="40 % - Accent2 20" xfId="909" xr:uid="{00000000-0005-0000-0000-0000BC000000}"/>
    <cellStyle name="40 % - Accent2 21" xfId="910" xr:uid="{00000000-0005-0000-0000-0000BD000000}"/>
    <cellStyle name="40 % - Accent2 22" xfId="911" xr:uid="{00000000-0005-0000-0000-0000BE000000}"/>
    <cellStyle name="40 % - Accent2 23" xfId="912" xr:uid="{00000000-0005-0000-0000-0000BF000000}"/>
    <cellStyle name="40 % - Accent2 24" xfId="913" xr:uid="{00000000-0005-0000-0000-0000C0000000}"/>
    <cellStyle name="40 % - Accent2 25" xfId="898" xr:uid="{00000000-0005-0000-0000-0000C1000000}"/>
    <cellStyle name="40 % - Accent2 3" xfId="914" xr:uid="{00000000-0005-0000-0000-0000C2000000}"/>
    <cellStyle name="40 % - Accent2 4" xfId="915" xr:uid="{00000000-0005-0000-0000-0000C3000000}"/>
    <cellStyle name="40 % - Accent2 5" xfId="916" xr:uid="{00000000-0005-0000-0000-0000C4000000}"/>
    <cellStyle name="40 % - Accent2 6" xfId="917" xr:uid="{00000000-0005-0000-0000-0000C5000000}"/>
    <cellStyle name="40 % - Accent2 7" xfId="918" xr:uid="{00000000-0005-0000-0000-0000C6000000}"/>
    <cellStyle name="40 % - Accent2 8" xfId="919" xr:uid="{00000000-0005-0000-0000-0000C7000000}"/>
    <cellStyle name="40 % - Accent2 9" xfId="920" xr:uid="{00000000-0005-0000-0000-0000C8000000}"/>
    <cellStyle name="40 % - Accent3 10" xfId="922" xr:uid="{00000000-0005-0000-0000-0000C9000000}"/>
    <cellStyle name="40 % - Accent3 11" xfId="923" xr:uid="{00000000-0005-0000-0000-0000CA000000}"/>
    <cellStyle name="40 % - Accent3 12" xfId="924" xr:uid="{00000000-0005-0000-0000-0000CB000000}"/>
    <cellStyle name="40 % - Accent3 13" xfId="925" xr:uid="{00000000-0005-0000-0000-0000CC000000}"/>
    <cellStyle name="40 % - Accent3 14" xfId="926" xr:uid="{00000000-0005-0000-0000-0000CD000000}"/>
    <cellStyle name="40 % - Accent3 15" xfId="927" xr:uid="{00000000-0005-0000-0000-0000CE000000}"/>
    <cellStyle name="40 % - Accent3 16" xfId="928" xr:uid="{00000000-0005-0000-0000-0000CF000000}"/>
    <cellStyle name="40 % - Accent3 17" xfId="929" xr:uid="{00000000-0005-0000-0000-0000D0000000}"/>
    <cellStyle name="40 % - Accent3 18" xfId="930" xr:uid="{00000000-0005-0000-0000-0000D1000000}"/>
    <cellStyle name="40 % - Accent3 19" xfId="931" xr:uid="{00000000-0005-0000-0000-0000D2000000}"/>
    <cellStyle name="40 % - Accent3 2" xfId="26" xr:uid="{00000000-0005-0000-0000-0000D3000000}"/>
    <cellStyle name="40 % - Accent3 2 2" xfId="27" xr:uid="{00000000-0005-0000-0000-0000D4000000}"/>
    <cellStyle name="40 % - Accent3 20" xfId="932" xr:uid="{00000000-0005-0000-0000-0000D5000000}"/>
    <cellStyle name="40 % - Accent3 21" xfId="933" xr:uid="{00000000-0005-0000-0000-0000D6000000}"/>
    <cellStyle name="40 % - Accent3 22" xfId="934" xr:uid="{00000000-0005-0000-0000-0000D7000000}"/>
    <cellStyle name="40 % - Accent3 23" xfId="935" xr:uid="{00000000-0005-0000-0000-0000D8000000}"/>
    <cellStyle name="40 % - Accent3 24" xfId="936" xr:uid="{00000000-0005-0000-0000-0000D9000000}"/>
    <cellStyle name="40 % - Accent3 25" xfId="921" xr:uid="{00000000-0005-0000-0000-0000DA000000}"/>
    <cellStyle name="40 % - Accent3 3" xfId="937" xr:uid="{00000000-0005-0000-0000-0000DB000000}"/>
    <cellStyle name="40 % - Accent3 4" xfId="938" xr:uid="{00000000-0005-0000-0000-0000DC000000}"/>
    <cellStyle name="40 % - Accent3 5" xfId="939" xr:uid="{00000000-0005-0000-0000-0000DD000000}"/>
    <cellStyle name="40 % - Accent3 6" xfId="940" xr:uid="{00000000-0005-0000-0000-0000DE000000}"/>
    <cellStyle name="40 % - Accent3 7" xfId="941" xr:uid="{00000000-0005-0000-0000-0000DF000000}"/>
    <cellStyle name="40 % - Accent3 8" xfId="942" xr:uid="{00000000-0005-0000-0000-0000E0000000}"/>
    <cellStyle name="40 % - Accent3 9" xfId="943" xr:uid="{00000000-0005-0000-0000-0000E1000000}"/>
    <cellStyle name="40 % - Accent4 10" xfId="945" xr:uid="{00000000-0005-0000-0000-0000E2000000}"/>
    <cellStyle name="40 % - Accent4 11" xfId="946" xr:uid="{00000000-0005-0000-0000-0000E3000000}"/>
    <cellStyle name="40 % - Accent4 12" xfId="947" xr:uid="{00000000-0005-0000-0000-0000E4000000}"/>
    <cellStyle name="40 % - Accent4 13" xfId="948" xr:uid="{00000000-0005-0000-0000-0000E5000000}"/>
    <cellStyle name="40 % - Accent4 14" xfId="949" xr:uid="{00000000-0005-0000-0000-0000E6000000}"/>
    <cellStyle name="40 % - Accent4 15" xfId="950" xr:uid="{00000000-0005-0000-0000-0000E7000000}"/>
    <cellStyle name="40 % - Accent4 16" xfId="951" xr:uid="{00000000-0005-0000-0000-0000E8000000}"/>
    <cellStyle name="40 % - Accent4 17" xfId="952" xr:uid="{00000000-0005-0000-0000-0000E9000000}"/>
    <cellStyle name="40 % - Accent4 18" xfId="953" xr:uid="{00000000-0005-0000-0000-0000EA000000}"/>
    <cellStyle name="40 % - Accent4 19" xfId="954" xr:uid="{00000000-0005-0000-0000-0000EB000000}"/>
    <cellStyle name="40 % - Accent4 2" xfId="28" xr:uid="{00000000-0005-0000-0000-0000EC000000}"/>
    <cellStyle name="40 % - Accent4 2 2" xfId="29" xr:uid="{00000000-0005-0000-0000-0000ED000000}"/>
    <cellStyle name="40 % - Accent4 20" xfId="955" xr:uid="{00000000-0005-0000-0000-0000EE000000}"/>
    <cellStyle name="40 % - Accent4 21" xfId="956" xr:uid="{00000000-0005-0000-0000-0000EF000000}"/>
    <cellStyle name="40 % - Accent4 22" xfId="957" xr:uid="{00000000-0005-0000-0000-0000F0000000}"/>
    <cellStyle name="40 % - Accent4 23" xfId="958" xr:uid="{00000000-0005-0000-0000-0000F1000000}"/>
    <cellStyle name="40 % - Accent4 24" xfId="959" xr:uid="{00000000-0005-0000-0000-0000F2000000}"/>
    <cellStyle name="40 % - Accent4 25" xfId="944" xr:uid="{00000000-0005-0000-0000-0000F3000000}"/>
    <cellStyle name="40 % - Accent4 3" xfId="960" xr:uid="{00000000-0005-0000-0000-0000F4000000}"/>
    <cellStyle name="40 % - Accent4 4" xfId="961" xr:uid="{00000000-0005-0000-0000-0000F5000000}"/>
    <cellStyle name="40 % - Accent4 5" xfId="962" xr:uid="{00000000-0005-0000-0000-0000F6000000}"/>
    <cellStyle name="40 % - Accent4 6" xfId="963" xr:uid="{00000000-0005-0000-0000-0000F7000000}"/>
    <cellStyle name="40 % - Accent4 7" xfId="964" xr:uid="{00000000-0005-0000-0000-0000F8000000}"/>
    <cellStyle name="40 % - Accent4 8" xfId="965" xr:uid="{00000000-0005-0000-0000-0000F9000000}"/>
    <cellStyle name="40 % - Accent4 9" xfId="966" xr:uid="{00000000-0005-0000-0000-0000FA000000}"/>
    <cellStyle name="40 % - Accent5 10" xfId="968" xr:uid="{00000000-0005-0000-0000-0000FB000000}"/>
    <cellStyle name="40 % - Accent5 11" xfId="969" xr:uid="{00000000-0005-0000-0000-0000FC000000}"/>
    <cellStyle name="40 % - Accent5 12" xfId="970" xr:uid="{00000000-0005-0000-0000-0000FD000000}"/>
    <cellStyle name="40 % - Accent5 13" xfId="971" xr:uid="{00000000-0005-0000-0000-0000FE000000}"/>
    <cellStyle name="40 % - Accent5 14" xfId="972" xr:uid="{00000000-0005-0000-0000-0000FF000000}"/>
    <cellStyle name="40 % - Accent5 15" xfId="973" xr:uid="{00000000-0005-0000-0000-000000010000}"/>
    <cellStyle name="40 % - Accent5 16" xfId="974" xr:uid="{00000000-0005-0000-0000-000001010000}"/>
    <cellStyle name="40 % - Accent5 17" xfId="975" xr:uid="{00000000-0005-0000-0000-000002010000}"/>
    <cellStyle name="40 % - Accent5 18" xfId="976" xr:uid="{00000000-0005-0000-0000-000003010000}"/>
    <cellStyle name="40 % - Accent5 19" xfId="977" xr:uid="{00000000-0005-0000-0000-000004010000}"/>
    <cellStyle name="40 % - Accent5 2" xfId="30" xr:uid="{00000000-0005-0000-0000-000005010000}"/>
    <cellStyle name="40 % - Accent5 2 2" xfId="31" xr:uid="{00000000-0005-0000-0000-000006010000}"/>
    <cellStyle name="40 % - Accent5 20" xfId="978" xr:uid="{00000000-0005-0000-0000-000007010000}"/>
    <cellStyle name="40 % - Accent5 21" xfId="979" xr:uid="{00000000-0005-0000-0000-000008010000}"/>
    <cellStyle name="40 % - Accent5 22" xfId="980" xr:uid="{00000000-0005-0000-0000-000009010000}"/>
    <cellStyle name="40 % - Accent5 23" xfId="981" xr:uid="{00000000-0005-0000-0000-00000A010000}"/>
    <cellStyle name="40 % - Accent5 24" xfId="982" xr:uid="{00000000-0005-0000-0000-00000B010000}"/>
    <cellStyle name="40 % - Accent5 25" xfId="967" xr:uid="{00000000-0005-0000-0000-00000C010000}"/>
    <cellStyle name="40 % - Accent5 3" xfId="983" xr:uid="{00000000-0005-0000-0000-00000D010000}"/>
    <cellStyle name="40 % - Accent5 4" xfId="984" xr:uid="{00000000-0005-0000-0000-00000E010000}"/>
    <cellStyle name="40 % - Accent5 5" xfId="985" xr:uid="{00000000-0005-0000-0000-00000F010000}"/>
    <cellStyle name="40 % - Accent5 6" xfId="986" xr:uid="{00000000-0005-0000-0000-000010010000}"/>
    <cellStyle name="40 % - Accent5 7" xfId="987" xr:uid="{00000000-0005-0000-0000-000011010000}"/>
    <cellStyle name="40 % - Accent5 8" xfId="988" xr:uid="{00000000-0005-0000-0000-000012010000}"/>
    <cellStyle name="40 % - Accent5 9" xfId="989" xr:uid="{00000000-0005-0000-0000-000013010000}"/>
    <cellStyle name="40 % - Accent6 10" xfId="991" xr:uid="{00000000-0005-0000-0000-000014010000}"/>
    <cellStyle name="40 % - Accent6 11" xfId="992" xr:uid="{00000000-0005-0000-0000-000015010000}"/>
    <cellStyle name="40 % - Accent6 12" xfId="993" xr:uid="{00000000-0005-0000-0000-000016010000}"/>
    <cellStyle name="40 % - Accent6 13" xfId="994" xr:uid="{00000000-0005-0000-0000-000017010000}"/>
    <cellStyle name="40 % - Accent6 14" xfId="995" xr:uid="{00000000-0005-0000-0000-000018010000}"/>
    <cellStyle name="40 % - Accent6 15" xfId="996" xr:uid="{00000000-0005-0000-0000-000019010000}"/>
    <cellStyle name="40 % - Accent6 16" xfId="997" xr:uid="{00000000-0005-0000-0000-00001A010000}"/>
    <cellStyle name="40 % - Accent6 17" xfId="998" xr:uid="{00000000-0005-0000-0000-00001B010000}"/>
    <cellStyle name="40 % - Accent6 18" xfId="999" xr:uid="{00000000-0005-0000-0000-00001C010000}"/>
    <cellStyle name="40 % - Accent6 19" xfId="1000" xr:uid="{00000000-0005-0000-0000-00001D010000}"/>
    <cellStyle name="40 % - Accent6 2" xfId="32" xr:uid="{00000000-0005-0000-0000-00001E010000}"/>
    <cellStyle name="40 % - Accent6 2 2" xfId="33" xr:uid="{00000000-0005-0000-0000-00001F010000}"/>
    <cellStyle name="40 % - Accent6 20" xfId="1001" xr:uid="{00000000-0005-0000-0000-000020010000}"/>
    <cellStyle name="40 % - Accent6 21" xfId="1002" xr:uid="{00000000-0005-0000-0000-000021010000}"/>
    <cellStyle name="40 % - Accent6 22" xfId="1003" xr:uid="{00000000-0005-0000-0000-000022010000}"/>
    <cellStyle name="40 % - Accent6 23" xfId="1004" xr:uid="{00000000-0005-0000-0000-000023010000}"/>
    <cellStyle name="40 % - Accent6 24" xfId="1005" xr:uid="{00000000-0005-0000-0000-000024010000}"/>
    <cellStyle name="40 % - Accent6 25" xfId="990" xr:uid="{00000000-0005-0000-0000-000025010000}"/>
    <cellStyle name="40 % - Accent6 3" xfId="1006" xr:uid="{00000000-0005-0000-0000-000026010000}"/>
    <cellStyle name="40 % - Accent6 4" xfId="1007" xr:uid="{00000000-0005-0000-0000-000027010000}"/>
    <cellStyle name="40 % - Accent6 5" xfId="1008" xr:uid="{00000000-0005-0000-0000-000028010000}"/>
    <cellStyle name="40 % - Accent6 6" xfId="1009" xr:uid="{00000000-0005-0000-0000-000029010000}"/>
    <cellStyle name="40 % - Accent6 7" xfId="1010" xr:uid="{00000000-0005-0000-0000-00002A010000}"/>
    <cellStyle name="40 % - Accent6 8" xfId="1011" xr:uid="{00000000-0005-0000-0000-00002B010000}"/>
    <cellStyle name="40 % - Accent6 9" xfId="1012" xr:uid="{00000000-0005-0000-0000-00002C010000}"/>
    <cellStyle name="60 % - Accent1 2" xfId="34" xr:uid="{00000000-0005-0000-0000-00002D010000}"/>
    <cellStyle name="60 % - Accent1 3" xfId="1013" xr:uid="{00000000-0005-0000-0000-00002E010000}"/>
    <cellStyle name="60 % - Accent2 2" xfId="35" xr:uid="{00000000-0005-0000-0000-00002F010000}"/>
    <cellStyle name="60 % - Accent2 3" xfId="1014" xr:uid="{00000000-0005-0000-0000-000030010000}"/>
    <cellStyle name="60 % - Accent3 2" xfId="36" xr:uid="{00000000-0005-0000-0000-000031010000}"/>
    <cellStyle name="60 % - Accent3 3" xfId="1015" xr:uid="{00000000-0005-0000-0000-000032010000}"/>
    <cellStyle name="60 % - Accent4 2" xfId="37" xr:uid="{00000000-0005-0000-0000-000033010000}"/>
    <cellStyle name="60 % - Accent4 3" xfId="1016" xr:uid="{00000000-0005-0000-0000-000034010000}"/>
    <cellStyle name="60 % - Accent5 2" xfId="38" xr:uid="{00000000-0005-0000-0000-000035010000}"/>
    <cellStyle name="60 % - Accent5 3" xfId="1017" xr:uid="{00000000-0005-0000-0000-000036010000}"/>
    <cellStyle name="60 % - Accent6 2" xfId="39" xr:uid="{00000000-0005-0000-0000-000037010000}"/>
    <cellStyle name="60 % - Accent6 3" xfId="1018" xr:uid="{00000000-0005-0000-0000-000038010000}"/>
    <cellStyle name="Accent1 2" xfId="40" xr:uid="{00000000-0005-0000-0000-000039010000}"/>
    <cellStyle name="Accent2 2" xfId="41" xr:uid="{00000000-0005-0000-0000-00003A010000}"/>
    <cellStyle name="Accent3 2" xfId="42" xr:uid="{00000000-0005-0000-0000-00003B010000}"/>
    <cellStyle name="Accent4 2" xfId="43" xr:uid="{00000000-0005-0000-0000-00003C010000}"/>
    <cellStyle name="Accent5 2" xfId="44" xr:uid="{00000000-0005-0000-0000-00003D010000}"/>
    <cellStyle name="Accent6 2" xfId="45" xr:uid="{00000000-0005-0000-0000-00003E010000}"/>
    <cellStyle name="Avertissement 2" xfId="46" xr:uid="{00000000-0005-0000-0000-00003F010000}"/>
    <cellStyle name="Avertissement 3" xfId="1019" xr:uid="{00000000-0005-0000-0000-000040010000}"/>
    <cellStyle name="Bad 2" xfId="47" xr:uid="{00000000-0005-0000-0000-000041010000}"/>
    <cellStyle name="Calcul 2" xfId="48" xr:uid="{00000000-0005-0000-0000-000042010000}"/>
    <cellStyle name="Calcul 2 2" xfId="3158" xr:uid="{00000000-0005-0000-0000-000043010000}"/>
    <cellStyle name="Calcul 3" xfId="1020" xr:uid="{00000000-0005-0000-0000-000044010000}"/>
    <cellStyle name="Calcul 4" xfId="3161" xr:uid="{00000000-0005-0000-0000-000045010000}"/>
    <cellStyle name="Cellule liée 2" xfId="49" xr:uid="{00000000-0005-0000-0000-000046010000}"/>
    <cellStyle name="Cellule liée 3" xfId="1021" xr:uid="{00000000-0005-0000-0000-000047010000}"/>
    <cellStyle name="Check Cell 2" xfId="50" xr:uid="{00000000-0005-0000-0000-000048010000}"/>
    <cellStyle name="Comma" xfId="1" builtinId="3"/>
    <cellStyle name="Comma 10" xfId="733" xr:uid="{00000000-0005-0000-0000-000049010000}"/>
    <cellStyle name="Comma 10 2" xfId="1827" xr:uid="{00000000-0005-0000-0000-00004A010000}"/>
    <cellStyle name="Comma 10 2 2" xfId="1834" xr:uid="{00000000-0005-0000-0000-00004B010000}"/>
    <cellStyle name="Comma 10 2 2 2" xfId="1857" xr:uid="{00000000-0005-0000-0000-00004C010000}"/>
    <cellStyle name="Comma 10 2 3" xfId="1843" xr:uid="{00000000-0005-0000-0000-00004D010000}"/>
    <cellStyle name="Comma 10 2 3 2" xfId="1858" xr:uid="{00000000-0005-0000-0000-00004E010000}"/>
    <cellStyle name="Comma 10 2 4" xfId="1856" xr:uid="{00000000-0005-0000-0000-00004F010000}"/>
    <cellStyle name="Comma 10 3" xfId="1855" xr:uid="{00000000-0005-0000-0000-000050010000}"/>
    <cellStyle name="Comma 11" xfId="1831" xr:uid="{00000000-0005-0000-0000-000051010000}"/>
    <cellStyle name="Comma 11 2" xfId="1859" xr:uid="{00000000-0005-0000-0000-000052010000}"/>
    <cellStyle name="Comma 12" xfId="3146" xr:uid="{00000000-0005-0000-0000-000053010000}"/>
    <cellStyle name="Comma 12 2" xfId="51" xr:uid="{00000000-0005-0000-0000-000054010000}"/>
    <cellStyle name="Comma 13" xfId="3150" xr:uid="{00000000-0005-0000-0000-000055010000}"/>
    <cellStyle name="Comma 2" xfId="52" xr:uid="{00000000-0005-0000-0000-000056010000}"/>
    <cellStyle name="Comma 2 2" xfId="1022" xr:uid="{00000000-0005-0000-0000-000057010000}"/>
    <cellStyle name="Comma 2 2 2" xfId="3138" xr:uid="{00000000-0005-0000-0000-000058010000}"/>
    <cellStyle name="Comma 3" xfId="53" xr:uid="{00000000-0005-0000-0000-000059010000}"/>
    <cellStyle name="Comma 3 2" xfId="54" xr:uid="{00000000-0005-0000-0000-00005A010000}"/>
    <cellStyle name="Comma 3 3" xfId="55" xr:uid="{00000000-0005-0000-0000-00005B010000}"/>
    <cellStyle name="Comma 3 3 2" xfId="56" xr:uid="{00000000-0005-0000-0000-00005C010000}"/>
    <cellStyle name="Comma 3 3 2 2" xfId="57" xr:uid="{00000000-0005-0000-0000-00005D010000}"/>
    <cellStyle name="Comma 3 3 2 2 2" xfId="1255" xr:uid="{00000000-0005-0000-0000-00005E010000}"/>
    <cellStyle name="Comma 3 3 2 2 2 2" xfId="1864" xr:uid="{00000000-0005-0000-0000-00005F010000}"/>
    <cellStyle name="Comma 3 3 2 2 3" xfId="1863" xr:uid="{00000000-0005-0000-0000-000060010000}"/>
    <cellStyle name="Comma 3 3 2 3" xfId="1254" xr:uid="{00000000-0005-0000-0000-000061010000}"/>
    <cellStyle name="Comma 3 3 2 3 2" xfId="1865" xr:uid="{00000000-0005-0000-0000-000062010000}"/>
    <cellStyle name="Comma 3 3 2 4" xfId="1862" xr:uid="{00000000-0005-0000-0000-000063010000}"/>
    <cellStyle name="Comma 3 3 3" xfId="58" xr:uid="{00000000-0005-0000-0000-000064010000}"/>
    <cellStyle name="Comma 3 3 3 2" xfId="1256" xr:uid="{00000000-0005-0000-0000-000065010000}"/>
    <cellStyle name="Comma 3 3 3 2 2" xfId="1867" xr:uid="{00000000-0005-0000-0000-000066010000}"/>
    <cellStyle name="Comma 3 3 3 3" xfId="1866" xr:uid="{00000000-0005-0000-0000-000067010000}"/>
    <cellStyle name="Comma 3 3 4" xfId="1253" xr:uid="{00000000-0005-0000-0000-000068010000}"/>
    <cellStyle name="Comma 3 3 4 2" xfId="1868" xr:uid="{00000000-0005-0000-0000-000069010000}"/>
    <cellStyle name="Comma 3 3 5" xfId="1861" xr:uid="{00000000-0005-0000-0000-00006A010000}"/>
    <cellStyle name="Comma 3 4" xfId="59" xr:uid="{00000000-0005-0000-0000-00006B010000}"/>
    <cellStyle name="Comma 3 4 2" xfId="60" xr:uid="{00000000-0005-0000-0000-00006C010000}"/>
    <cellStyle name="Comma 3 4 2 2" xfId="1258" xr:uid="{00000000-0005-0000-0000-00006D010000}"/>
    <cellStyle name="Comma 3 4 2 2 2" xfId="1871" xr:uid="{00000000-0005-0000-0000-00006E010000}"/>
    <cellStyle name="Comma 3 4 2 3" xfId="1870" xr:uid="{00000000-0005-0000-0000-00006F010000}"/>
    <cellStyle name="Comma 3 4 3" xfId="1257" xr:uid="{00000000-0005-0000-0000-000070010000}"/>
    <cellStyle name="Comma 3 4 3 2" xfId="1872" xr:uid="{00000000-0005-0000-0000-000071010000}"/>
    <cellStyle name="Comma 3 4 4" xfId="1869" xr:uid="{00000000-0005-0000-0000-000072010000}"/>
    <cellStyle name="Comma 3 5" xfId="61" xr:uid="{00000000-0005-0000-0000-000073010000}"/>
    <cellStyle name="Comma 3 5 2" xfId="1259" xr:uid="{00000000-0005-0000-0000-000074010000}"/>
    <cellStyle name="Comma 3 5 2 2" xfId="1874" xr:uid="{00000000-0005-0000-0000-000075010000}"/>
    <cellStyle name="Comma 3 5 3" xfId="1873" xr:uid="{00000000-0005-0000-0000-000076010000}"/>
    <cellStyle name="Comma 3 6" xfId="1252" xr:uid="{00000000-0005-0000-0000-000077010000}"/>
    <cellStyle name="Comma 3 6 2" xfId="1875" xr:uid="{00000000-0005-0000-0000-000078010000}"/>
    <cellStyle name="Comma 3 7" xfId="1860" xr:uid="{00000000-0005-0000-0000-000079010000}"/>
    <cellStyle name="Comma 4" xfId="62" xr:uid="{00000000-0005-0000-0000-00007A010000}"/>
    <cellStyle name="Comma 4 2" xfId="63" xr:uid="{00000000-0005-0000-0000-00007B010000}"/>
    <cellStyle name="Comma 4 2 2" xfId="64" xr:uid="{00000000-0005-0000-0000-00007C010000}"/>
    <cellStyle name="Comma 4 3" xfId="65" xr:uid="{00000000-0005-0000-0000-00007D010000}"/>
    <cellStyle name="Comma 4 3 2" xfId="66" xr:uid="{00000000-0005-0000-0000-00007E010000}"/>
    <cellStyle name="Comma 4 3 2 2" xfId="67" xr:uid="{00000000-0005-0000-0000-00007F010000}"/>
    <cellStyle name="Comma 4 3 2 2 2" xfId="1263" xr:uid="{00000000-0005-0000-0000-000080010000}"/>
    <cellStyle name="Comma 4 3 2 2 2 2" xfId="1880" xr:uid="{00000000-0005-0000-0000-000081010000}"/>
    <cellStyle name="Comma 4 3 2 2 3" xfId="1879" xr:uid="{00000000-0005-0000-0000-000082010000}"/>
    <cellStyle name="Comma 4 3 2 3" xfId="1262" xr:uid="{00000000-0005-0000-0000-000083010000}"/>
    <cellStyle name="Comma 4 3 2 3 2" xfId="1881" xr:uid="{00000000-0005-0000-0000-000084010000}"/>
    <cellStyle name="Comma 4 3 2 4" xfId="1878" xr:uid="{00000000-0005-0000-0000-000085010000}"/>
    <cellStyle name="Comma 4 3 3" xfId="68" xr:uid="{00000000-0005-0000-0000-000086010000}"/>
    <cellStyle name="Comma 4 3 3 2" xfId="1264" xr:uid="{00000000-0005-0000-0000-000087010000}"/>
    <cellStyle name="Comma 4 3 3 2 2" xfId="1883" xr:uid="{00000000-0005-0000-0000-000088010000}"/>
    <cellStyle name="Comma 4 3 3 3" xfId="1882" xr:uid="{00000000-0005-0000-0000-000089010000}"/>
    <cellStyle name="Comma 4 3 4" xfId="1261" xr:uid="{00000000-0005-0000-0000-00008A010000}"/>
    <cellStyle name="Comma 4 3 4 2" xfId="1884" xr:uid="{00000000-0005-0000-0000-00008B010000}"/>
    <cellStyle name="Comma 4 3 5" xfId="1877" xr:uid="{00000000-0005-0000-0000-00008C010000}"/>
    <cellStyle name="Comma 4 4" xfId="69" xr:uid="{00000000-0005-0000-0000-00008D010000}"/>
    <cellStyle name="Comma 4 4 2" xfId="70" xr:uid="{00000000-0005-0000-0000-00008E010000}"/>
    <cellStyle name="Comma 4 4 2 2" xfId="1266" xr:uid="{00000000-0005-0000-0000-00008F010000}"/>
    <cellStyle name="Comma 4 4 2 2 2" xfId="1887" xr:uid="{00000000-0005-0000-0000-000090010000}"/>
    <cellStyle name="Comma 4 4 2 3" xfId="1886" xr:uid="{00000000-0005-0000-0000-000091010000}"/>
    <cellStyle name="Comma 4 4 3" xfId="1265" xr:uid="{00000000-0005-0000-0000-000092010000}"/>
    <cellStyle name="Comma 4 4 3 2" xfId="1888" xr:uid="{00000000-0005-0000-0000-000093010000}"/>
    <cellStyle name="Comma 4 4 4" xfId="1885" xr:uid="{00000000-0005-0000-0000-000094010000}"/>
    <cellStyle name="Comma 4 5" xfId="71" xr:uid="{00000000-0005-0000-0000-000095010000}"/>
    <cellStyle name="Comma 4 5 2" xfId="1267" xr:uid="{00000000-0005-0000-0000-000096010000}"/>
    <cellStyle name="Comma 4 5 2 2" xfId="1890" xr:uid="{00000000-0005-0000-0000-000097010000}"/>
    <cellStyle name="Comma 4 5 3" xfId="1889" xr:uid="{00000000-0005-0000-0000-000098010000}"/>
    <cellStyle name="Comma 4 6" xfId="1260" xr:uid="{00000000-0005-0000-0000-000099010000}"/>
    <cellStyle name="Comma 4 6 2" xfId="1891" xr:uid="{00000000-0005-0000-0000-00009A010000}"/>
    <cellStyle name="Comma 4 7" xfId="1876" xr:uid="{00000000-0005-0000-0000-00009B010000}"/>
    <cellStyle name="Comma 5" xfId="72" xr:uid="{00000000-0005-0000-0000-00009C010000}"/>
    <cellStyle name="Comma 5 10" xfId="1023" xr:uid="{00000000-0005-0000-0000-00009D010000}"/>
    <cellStyle name="Comma 5 11" xfId="1024" xr:uid="{00000000-0005-0000-0000-00009E010000}"/>
    <cellStyle name="Comma 5 12" xfId="1025" xr:uid="{00000000-0005-0000-0000-00009F010000}"/>
    <cellStyle name="Comma 5 13" xfId="1026" xr:uid="{00000000-0005-0000-0000-0000A0010000}"/>
    <cellStyle name="Comma 5 14" xfId="1027" xr:uid="{00000000-0005-0000-0000-0000A1010000}"/>
    <cellStyle name="Comma 5 15" xfId="1268" xr:uid="{00000000-0005-0000-0000-0000A2010000}"/>
    <cellStyle name="Comma 5 15 2" xfId="1893" xr:uid="{00000000-0005-0000-0000-0000A3010000}"/>
    <cellStyle name="Comma 5 16" xfId="1892" xr:uid="{00000000-0005-0000-0000-0000A4010000}"/>
    <cellStyle name="Comma 5 2" xfId="73" xr:uid="{00000000-0005-0000-0000-0000A5010000}"/>
    <cellStyle name="Comma 5 2 2" xfId="74" xr:uid="{00000000-0005-0000-0000-0000A6010000}"/>
    <cellStyle name="Comma 5 2 2 2" xfId="75" xr:uid="{00000000-0005-0000-0000-0000A7010000}"/>
    <cellStyle name="Comma 5 2 2 2 2" xfId="76" xr:uid="{00000000-0005-0000-0000-0000A8010000}"/>
    <cellStyle name="Comma 5 2 2 2 2 2" xfId="1272" xr:uid="{00000000-0005-0000-0000-0000A9010000}"/>
    <cellStyle name="Comma 5 2 2 2 2 2 2" xfId="1898" xr:uid="{00000000-0005-0000-0000-0000AA010000}"/>
    <cellStyle name="Comma 5 2 2 2 2 3" xfId="1897" xr:uid="{00000000-0005-0000-0000-0000AB010000}"/>
    <cellStyle name="Comma 5 2 2 2 3" xfId="1271" xr:uid="{00000000-0005-0000-0000-0000AC010000}"/>
    <cellStyle name="Comma 5 2 2 2 3 2" xfId="1899" xr:uid="{00000000-0005-0000-0000-0000AD010000}"/>
    <cellStyle name="Comma 5 2 2 2 4" xfId="1896" xr:uid="{00000000-0005-0000-0000-0000AE010000}"/>
    <cellStyle name="Comma 5 2 2 3" xfId="77" xr:uid="{00000000-0005-0000-0000-0000AF010000}"/>
    <cellStyle name="Comma 5 2 2 3 2" xfId="1273" xr:uid="{00000000-0005-0000-0000-0000B0010000}"/>
    <cellStyle name="Comma 5 2 2 3 2 2" xfId="1901" xr:uid="{00000000-0005-0000-0000-0000B1010000}"/>
    <cellStyle name="Comma 5 2 2 3 3" xfId="1900" xr:uid="{00000000-0005-0000-0000-0000B2010000}"/>
    <cellStyle name="Comma 5 2 2 4" xfId="1270" xr:uid="{00000000-0005-0000-0000-0000B3010000}"/>
    <cellStyle name="Comma 5 2 2 4 2" xfId="1902" xr:uid="{00000000-0005-0000-0000-0000B4010000}"/>
    <cellStyle name="Comma 5 2 2 5" xfId="1895" xr:uid="{00000000-0005-0000-0000-0000B5010000}"/>
    <cellStyle name="Comma 5 2 3" xfId="78" xr:uid="{00000000-0005-0000-0000-0000B6010000}"/>
    <cellStyle name="Comma 5 2 3 2" xfId="79" xr:uid="{00000000-0005-0000-0000-0000B7010000}"/>
    <cellStyle name="Comma 5 2 3 2 2" xfId="1275" xr:uid="{00000000-0005-0000-0000-0000B8010000}"/>
    <cellStyle name="Comma 5 2 3 2 2 2" xfId="1905" xr:uid="{00000000-0005-0000-0000-0000B9010000}"/>
    <cellStyle name="Comma 5 2 3 2 3" xfId="1904" xr:uid="{00000000-0005-0000-0000-0000BA010000}"/>
    <cellStyle name="Comma 5 2 3 3" xfId="1274" xr:uid="{00000000-0005-0000-0000-0000BB010000}"/>
    <cellStyle name="Comma 5 2 3 3 2" xfId="1906" xr:uid="{00000000-0005-0000-0000-0000BC010000}"/>
    <cellStyle name="Comma 5 2 3 4" xfId="1903" xr:uid="{00000000-0005-0000-0000-0000BD010000}"/>
    <cellStyle name="Comma 5 2 4" xfId="80" xr:uid="{00000000-0005-0000-0000-0000BE010000}"/>
    <cellStyle name="Comma 5 2 4 2" xfId="1276" xr:uid="{00000000-0005-0000-0000-0000BF010000}"/>
    <cellStyle name="Comma 5 2 4 2 2" xfId="1908" xr:uid="{00000000-0005-0000-0000-0000C0010000}"/>
    <cellStyle name="Comma 5 2 4 3" xfId="1907" xr:uid="{00000000-0005-0000-0000-0000C1010000}"/>
    <cellStyle name="Comma 5 2 5" xfId="727" xr:uid="{00000000-0005-0000-0000-0000C2010000}"/>
    <cellStyle name="Comma 5 2 5 2" xfId="1277" xr:uid="{00000000-0005-0000-0000-0000C3010000}"/>
    <cellStyle name="Comma 5 2 5 2 2" xfId="1910" xr:uid="{00000000-0005-0000-0000-0000C4010000}"/>
    <cellStyle name="Comma 5 2 5 3" xfId="1909" xr:uid="{00000000-0005-0000-0000-0000C5010000}"/>
    <cellStyle name="Comma 5 2 6" xfId="1269" xr:uid="{00000000-0005-0000-0000-0000C6010000}"/>
    <cellStyle name="Comma 5 2 6 2" xfId="1911" xr:uid="{00000000-0005-0000-0000-0000C7010000}"/>
    <cellStyle name="Comma 5 2 7" xfId="1894" xr:uid="{00000000-0005-0000-0000-0000C8010000}"/>
    <cellStyle name="Comma 5 3" xfId="81" xr:uid="{00000000-0005-0000-0000-0000C9010000}"/>
    <cellStyle name="Comma 5 3 2" xfId="82" xr:uid="{00000000-0005-0000-0000-0000CA010000}"/>
    <cellStyle name="Comma 5 3 2 2" xfId="83" xr:uid="{00000000-0005-0000-0000-0000CB010000}"/>
    <cellStyle name="Comma 5 3 2 2 2" xfId="1280" xr:uid="{00000000-0005-0000-0000-0000CC010000}"/>
    <cellStyle name="Comma 5 3 2 2 2 2" xfId="1915" xr:uid="{00000000-0005-0000-0000-0000CD010000}"/>
    <cellStyle name="Comma 5 3 2 2 3" xfId="1914" xr:uid="{00000000-0005-0000-0000-0000CE010000}"/>
    <cellStyle name="Comma 5 3 2 3" xfId="1279" xr:uid="{00000000-0005-0000-0000-0000CF010000}"/>
    <cellStyle name="Comma 5 3 2 3 2" xfId="1916" xr:uid="{00000000-0005-0000-0000-0000D0010000}"/>
    <cellStyle name="Comma 5 3 2 4" xfId="1913" xr:uid="{00000000-0005-0000-0000-0000D1010000}"/>
    <cellStyle name="Comma 5 3 3" xfId="84" xr:uid="{00000000-0005-0000-0000-0000D2010000}"/>
    <cellStyle name="Comma 5 3 3 2" xfId="1281" xr:uid="{00000000-0005-0000-0000-0000D3010000}"/>
    <cellStyle name="Comma 5 3 3 2 2" xfId="1918" xr:uid="{00000000-0005-0000-0000-0000D4010000}"/>
    <cellStyle name="Comma 5 3 3 3" xfId="1917" xr:uid="{00000000-0005-0000-0000-0000D5010000}"/>
    <cellStyle name="Comma 5 3 4" xfId="1278" xr:uid="{00000000-0005-0000-0000-0000D6010000}"/>
    <cellStyle name="Comma 5 3 4 2" xfId="1919" xr:uid="{00000000-0005-0000-0000-0000D7010000}"/>
    <cellStyle name="Comma 5 3 5" xfId="1912" xr:uid="{00000000-0005-0000-0000-0000D8010000}"/>
    <cellStyle name="Comma 5 4" xfId="85" xr:uid="{00000000-0005-0000-0000-0000D9010000}"/>
    <cellStyle name="Comma 5 4 2" xfId="86" xr:uid="{00000000-0005-0000-0000-0000DA010000}"/>
    <cellStyle name="Comma 5 4 2 2" xfId="1283" xr:uid="{00000000-0005-0000-0000-0000DB010000}"/>
    <cellStyle name="Comma 5 4 2 2 2" xfId="1922" xr:uid="{00000000-0005-0000-0000-0000DC010000}"/>
    <cellStyle name="Comma 5 4 2 3" xfId="1921" xr:uid="{00000000-0005-0000-0000-0000DD010000}"/>
    <cellStyle name="Comma 5 4 3" xfId="1282" xr:uid="{00000000-0005-0000-0000-0000DE010000}"/>
    <cellStyle name="Comma 5 4 3 2" xfId="1923" xr:uid="{00000000-0005-0000-0000-0000DF010000}"/>
    <cellStyle name="Comma 5 4 4" xfId="1920" xr:uid="{00000000-0005-0000-0000-0000E0010000}"/>
    <cellStyle name="Comma 5 5" xfId="87" xr:uid="{00000000-0005-0000-0000-0000E1010000}"/>
    <cellStyle name="Comma 5 5 2" xfId="1284" xr:uid="{00000000-0005-0000-0000-0000E2010000}"/>
    <cellStyle name="Comma 5 5 2 2" xfId="1925" xr:uid="{00000000-0005-0000-0000-0000E3010000}"/>
    <cellStyle name="Comma 5 5 3" xfId="1924" xr:uid="{00000000-0005-0000-0000-0000E4010000}"/>
    <cellStyle name="Comma 5 6" xfId="1028" xr:uid="{00000000-0005-0000-0000-0000E5010000}"/>
    <cellStyle name="Comma 5 7" xfId="1029" xr:uid="{00000000-0005-0000-0000-0000E6010000}"/>
    <cellStyle name="Comma 5 8" xfId="1030" xr:uid="{00000000-0005-0000-0000-0000E7010000}"/>
    <cellStyle name="Comma 5 9" xfId="1031" xr:uid="{00000000-0005-0000-0000-0000E8010000}"/>
    <cellStyle name="Comma 6" xfId="88" xr:uid="{00000000-0005-0000-0000-0000E9010000}"/>
    <cellStyle name="Comma 6 2" xfId="89" xr:uid="{00000000-0005-0000-0000-0000EA010000}"/>
    <cellStyle name="Comma 6 2 2" xfId="90" xr:uid="{00000000-0005-0000-0000-0000EB010000}"/>
    <cellStyle name="Comma 6 2 2 2" xfId="91" xr:uid="{00000000-0005-0000-0000-0000EC010000}"/>
    <cellStyle name="Comma 6 2 2 2 2" xfId="1288" xr:uid="{00000000-0005-0000-0000-0000ED010000}"/>
    <cellStyle name="Comma 6 2 2 2 2 2" xfId="1930" xr:uid="{00000000-0005-0000-0000-0000EE010000}"/>
    <cellStyle name="Comma 6 2 2 2 3" xfId="1929" xr:uid="{00000000-0005-0000-0000-0000EF010000}"/>
    <cellStyle name="Comma 6 2 2 3" xfId="1287" xr:uid="{00000000-0005-0000-0000-0000F0010000}"/>
    <cellStyle name="Comma 6 2 2 3 2" xfId="1931" xr:uid="{00000000-0005-0000-0000-0000F1010000}"/>
    <cellStyle name="Comma 6 2 2 4" xfId="1928" xr:uid="{00000000-0005-0000-0000-0000F2010000}"/>
    <cellStyle name="Comma 6 2 3" xfId="92" xr:uid="{00000000-0005-0000-0000-0000F3010000}"/>
    <cellStyle name="Comma 6 2 3 2" xfId="1289" xr:uid="{00000000-0005-0000-0000-0000F4010000}"/>
    <cellStyle name="Comma 6 2 3 2 2" xfId="1933" xr:uid="{00000000-0005-0000-0000-0000F5010000}"/>
    <cellStyle name="Comma 6 2 3 3" xfId="1932" xr:uid="{00000000-0005-0000-0000-0000F6010000}"/>
    <cellStyle name="Comma 6 2 4" xfId="1286" xr:uid="{00000000-0005-0000-0000-0000F7010000}"/>
    <cellStyle name="Comma 6 2 4 2" xfId="1934" xr:uid="{00000000-0005-0000-0000-0000F8010000}"/>
    <cellStyle name="Comma 6 2 5" xfId="1927" xr:uid="{00000000-0005-0000-0000-0000F9010000}"/>
    <cellStyle name="Comma 6 3" xfId="93" xr:uid="{00000000-0005-0000-0000-0000FA010000}"/>
    <cellStyle name="Comma 6 3 2" xfId="94" xr:uid="{00000000-0005-0000-0000-0000FB010000}"/>
    <cellStyle name="Comma 6 3 2 2" xfId="1291" xr:uid="{00000000-0005-0000-0000-0000FC010000}"/>
    <cellStyle name="Comma 6 3 2 2 2" xfId="1937" xr:uid="{00000000-0005-0000-0000-0000FD010000}"/>
    <cellStyle name="Comma 6 3 2 3" xfId="1936" xr:uid="{00000000-0005-0000-0000-0000FE010000}"/>
    <cellStyle name="Comma 6 3 3" xfId="1290" xr:uid="{00000000-0005-0000-0000-0000FF010000}"/>
    <cellStyle name="Comma 6 3 3 2" xfId="1938" xr:uid="{00000000-0005-0000-0000-000000020000}"/>
    <cellStyle name="Comma 6 3 4" xfId="1935" xr:uid="{00000000-0005-0000-0000-000001020000}"/>
    <cellStyle name="Comma 6 4" xfId="95" xr:uid="{00000000-0005-0000-0000-000002020000}"/>
    <cellStyle name="Comma 6 4 2" xfId="1292" xr:uid="{00000000-0005-0000-0000-000003020000}"/>
    <cellStyle name="Comma 6 4 2 2" xfId="1940" xr:uid="{00000000-0005-0000-0000-000004020000}"/>
    <cellStyle name="Comma 6 4 3" xfId="1939" xr:uid="{00000000-0005-0000-0000-000005020000}"/>
    <cellStyle name="Comma 6 5" xfId="1285" xr:uid="{00000000-0005-0000-0000-000006020000}"/>
    <cellStyle name="Comma 6 5 2" xfId="1941" xr:uid="{00000000-0005-0000-0000-000007020000}"/>
    <cellStyle name="Comma 6 6" xfId="1926" xr:uid="{00000000-0005-0000-0000-000008020000}"/>
    <cellStyle name="Comma 7" xfId="96" xr:uid="{00000000-0005-0000-0000-000009020000}"/>
    <cellStyle name="Comma 7 2" xfId="97" xr:uid="{00000000-0005-0000-0000-00000A020000}"/>
    <cellStyle name="Comma 7 2 2" xfId="1294" xr:uid="{00000000-0005-0000-0000-00000B020000}"/>
    <cellStyle name="Comma 7 2 2 2" xfId="1944" xr:uid="{00000000-0005-0000-0000-00000C020000}"/>
    <cellStyle name="Comma 7 2 3" xfId="1943" xr:uid="{00000000-0005-0000-0000-00000D020000}"/>
    <cellStyle name="Comma 7 3" xfId="1293" xr:uid="{00000000-0005-0000-0000-00000E020000}"/>
    <cellStyle name="Comma 7 3 2" xfId="1945" xr:uid="{00000000-0005-0000-0000-00000F020000}"/>
    <cellStyle name="Comma 7 4" xfId="1942" xr:uid="{00000000-0005-0000-0000-000010020000}"/>
    <cellStyle name="Comma 8" xfId="98" xr:uid="{00000000-0005-0000-0000-000011020000}"/>
    <cellStyle name="Comma 8 2" xfId="99" xr:uid="{00000000-0005-0000-0000-000012020000}"/>
    <cellStyle name="Comma 8 2 2" xfId="1296" xr:uid="{00000000-0005-0000-0000-000013020000}"/>
    <cellStyle name="Comma 8 2 2 2" xfId="1947" xr:uid="{00000000-0005-0000-0000-000014020000}"/>
    <cellStyle name="Comma 8 2 3" xfId="1946" xr:uid="{00000000-0005-0000-0000-000015020000}"/>
    <cellStyle name="Comma 8 3" xfId="1295" xr:uid="{00000000-0005-0000-0000-000016020000}"/>
    <cellStyle name="Comma 8 3 2" xfId="1948" xr:uid="{00000000-0005-0000-0000-000017020000}"/>
    <cellStyle name="Comma 8 4" xfId="1849" xr:uid="{00000000-0005-0000-0000-000018020000}"/>
    <cellStyle name="Comma 8 4 2" xfId="1949" xr:uid="{00000000-0005-0000-0000-000019020000}"/>
    <cellStyle name="Comma 8 5" xfId="1853" xr:uid="{00000000-0005-0000-0000-00001A020000}"/>
    <cellStyle name="Comma 8 6" xfId="3134" xr:uid="{00000000-0005-0000-0000-00001B020000}"/>
    <cellStyle name="Comma 9" xfId="100" xr:uid="{00000000-0005-0000-0000-00001C020000}"/>
    <cellStyle name="Comma 9 2" xfId="101" xr:uid="{00000000-0005-0000-0000-00001D020000}"/>
    <cellStyle name="Comma 9 2 2" xfId="1298" xr:uid="{00000000-0005-0000-0000-00001E020000}"/>
    <cellStyle name="Comma 9 2 2 2" xfId="1952" xr:uid="{00000000-0005-0000-0000-00001F020000}"/>
    <cellStyle name="Comma 9 2 3" xfId="1951" xr:uid="{00000000-0005-0000-0000-000020020000}"/>
    <cellStyle name="Comma 9 3" xfId="1297" xr:uid="{00000000-0005-0000-0000-000021020000}"/>
    <cellStyle name="Comma 9 3 2" xfId="1953" xr:uid="{00000000-0005-0000-0000-000022020000}"/>
    <cellStyle name="Comma 9 4" xfId="1950" xr:uid="{00000000-0005-0000-0000-000023020000}"/>
    <cellStyle name="Comma 9 5" xfId="6" xr:uid="{00000000-0005-0000-0000-000024020000}"/>
    <cellStyle name="Comma0" xfId="102" xr:uid="{00000000-0005-0000-0000-000025020000}"/>
    <cellStyle name="Comma0 10" xfId="1032" xr:uid="{00000000-0005-0000-0000-000026020000}"/>
    <cellStyle name="Comma0 11" xfId="1033" xr:uid="{00000000-0005-0000-0000-000027020000}"/>
    <cellStyle name="Comma0 12" xfId="1034" xr:uid="{00000000-0005-0000-0000-000028020000}"/>
    <cellStyle name="Comma0 13" xfId="1035" xr:uid="{00000000-0005-0000-0000-000029020000}"/>
    <cellStyle name="Comma0 14" xfId="1036" xr:uid="{00000000-0005-0000-0000-00002A020000}"/>
    <cellStyle name="Comma0 15" xfId="1037" xr:uid="{00000000-0005-0000-0000-00002B020000}"/>
    <cellStyle name="Comma0 16" xfId="1038" xr:uid="{00000000-0005-0000-0000-00002C020000}"/>
    <cellStyle name="Comma0 2" xfId="1039" xr:uid="{00000000-0005-0000-0000-00002D020000}"/>
    <cellStyle name="Comma0 2 10" xfId="1040" xr:uid="{00000000-0005-0000-0000-00002E020000}"/>
    <cellStyle name="Comma0 2 11" xfId="1041" xr:uid="{00000000-0005-0000-0000-00002F020000}"/>
    <cellStyle name="Comma0 2 12" xfId="1042" xr:uid="{00000000-0005-0000-0000-000030020000}"/>
    <cellStyle name="Comma0 2 13" xfId="1043" xr:uid="{00000000-0005-0000-0000-000031020000}"/>
    <cellStyle name="Comma0 2 14" xfId="1044" xr:uid="{00000000-0005-0000-0000-000032020000}"/>
    <cellStyle name="Comma0 2 2" xfId="1045" xr:uid="{00000000-0005-0000-0000-000033020000}"/>
    <cellStyle name="Comma0 2 3" xfId="1046" xr:uid="{00000000-0005-0000-0000-000034020000}"/>
    <cellStyle name="Comma0 2 4" xfId="1047" xr:uid="{00000000-0005-0000-0000-000035020000}"/>
    <cellStyle name="Comma0 2 5" xfId="1048" xr:uid="{00000000-0005-0000-0000-000036020000}"/>
    <cellStyle name="Comma0 2 6" xfId="1049" xr:uid="{00000000-0005-0000-0000-000037020000}"/>
    <cellStyle name="Comma0 2 7" xfId="1050" xr:uid="{00000000-0005-0000-0000-000038020000}"/>
    <cellStyle name="Comma0 2 8" xfId="1051" xr:uid="{00000000-0005-0000-0000-000039020000}"/>
    <cellStyle name="Comma0 2 9" xfId="1052" xr:uid="{00000000-0005-0000-0000-00003A020000}"/>
    <cellStyle name="Comma0 22" xfId="1053" xr:uid="{00000000-0005-0000-0000-00003B020000}"/>
    <cellStyle name="Comma0 3" xfId="1054" xr:uid="{00000000-0005-0000-0000-00003C020000}"/>
    <cellStyle name="Comma0 39" xfId="1055" xr:uid="{00000000-0005-0000-0000-00003D020000}"/>
    <cellStyle name="Comma0 4" xfId="1056" xr:uid="{00000000-0005-0000-0000-00003E020000}"/>
    <cellStyle name="Comma0 40" xfId="1057" xr:uid="{00000000-0005-0000-0000-00003F020000}"/>
    <cellStyle name="Comma0 41" xfId="1058" xr:uid="{00000000-0005-0000-0000-000040020000}"/>
    <cellStyle name="Comma0 42" xfId="1059" xr:uid="{00000000-0005-0000-0000-000041020000}"/>
    <cellStyle name="Comma0 5" xfId="1060" xr:uid="{00000000-0005-0000-0000-000042020000}"/>
    <cellStyle name="Comma0 6" xfId="1061" xr:uid="{00000000-0005-0000-0000-000043020000}"/>
    <cellStyle name="Comma0 7" xfId="1062" xr:uid="{00000000-0005-0000-0000-000044020000}"/>
    <cellStyle name="Comma0 8" xfId="1063" xr:uid="{00000000-0005-0000-0000-000045020000}"/>
    <cellStyle name="Comma0 9" xfId="1064" xr:uid="{00000000-0005-0000-0000-000046020000}"/>
    <cellStyle name="Commentaire 10" xfId="1066" xr:uid="{00000000-0005-0000-0000-000047020000}"/>
    <cellStyle name="Commentaire 10 2" xfId="3163" xr:uid="{00000000-0005-0000-0000-000048020000}"/>
    <cellStyle name="Commentaire 11" xfId="1067" xr:uid="{00000000-0005-0000-0000-000049020000}"/>
    <cellStyle name="Commentaire 11 2" xfId="3164" xr:uid="{00000000-0005-0000-0000-00004A020000}"/>
    <cellStyle name="Commentaire 12" xfId="1068" xr:uid="{00000000-0005-0000-0000-00004B020000}"/>
    <cellStyle name="Commentaire 12 2" xfId="3165" xr:uid="{00000000-0005-0000-0000-00004C020000}"/>
    <cellStyle name="Commentaire 13" xfId="1069" xr:uid="{00000000-0005-0000-0000-00004D020000}"/>
    <cellStyle name="Commentaire 13 2" xfId="3166" xr:uid="{00000000-0005-0000-0000-00004E020000}"/>
    <cellStyle name="Commentaire 14" xfId="1070" xr:uid="{00000000-0005-0000-0000-00004F020000}"/>
    <cellStyle name="Commentaire 14 2" xfId="3167" xr:uid="{00000000-0005-0000-0000-000050020000}"/>
    <cellStyle name="Commentaire 15" xfId="1071" xr:uid="{00000000-0005-0000-0000-000051020000}"/>
    <cellStyle name="Commentaire 15 2" xfId="3168" xr:uid="{00000000-0005-0000-0000-000052020000}"/>
    <cellStyle name="Commentaire 16" xfId="1072" xr:uid="{00000000-0005-0000-0000-000053020000}"/>
    <cellStyle name="Commentaire 16 2" xfId="3169" xr:uid="{00000000-0005-0000-0000-000054020000}"/>
    <cellStyle name="Commentaire 17" xfId="1073" xr:uid="{00000000-0005-0000-0000-000055020000}"/>
    <cellStyle name="Commentaire 17 2" xfId="3170" xr:uid="{00000000-0005-0000-0000-000056020000}"/>
    <cellStyle name="Commentaire 18" xfId="1074" xr:uid="{00000000-0005-0000-0000-000057020000}"/>
    <cellStyle name="Commentaire 18 2" xfId="3171" xr:uid="{00000000-0005-0000-0000-000058020000}"/>
    <cellStyle name="Commentaire 19" xfId="1075" xr:uid="{00000000-0005-0000-0000-000059020000}"/>
    <cellStyle name="Commentaire 19 2" xfId="3172" xr:uid="{00000000-0005-0000-0000-00005A020000}"/>
    <cellStyle name="Commentaire 2" xfId="103" xr:uid="{00000000-0005-0000-0000-00005B020000}"/>
    <cellStyle name="Commentaire 2 2" xfId="3159" xr:uid="{00000000-0005-0000-0000-00005C020000}"/>
    <cellStyle name="Commentaire 20" xfId="1076" xr:uid="{00000000-0005-0000-0000-00005D020000}"/>
    <cellStyle name="Commentaire 20 2" xfId="3173" xr:uid="{00000000-0005-0000-0000-00005E020000}"/>
    <cellStyle name="Commentaire 21" xfId="1077" xr:uid="{00000000-0005-0000-0000-00005F020000}"/>
    <cellStyle name="Commentaire 21 2" xfId="3174" xr:uid="{00000000-0005-0000-0000-000060020000}"/>
    <cellStyle name="Commentaire 22" xfId="1078" xr:uid="{00000000-0005-0000-0000-000061020000}"/>
    <cellStyle name="Commentaire 22 2" xfId="3175" xr:uid="{00000000-0005-0000-0000-000062020000}"/>
    <cellStyle name="Commentaire 23" xfId="1079" xr:uid="{00000000-0005-0000-0000-000063020000}"/>
    <cellStyle name="Commentaire 23 2" xfId="3176" xr:uid="{00000000-0005-0000-0000-000064020000}"/>
    <cellStyle name="Commentaire 24" xfId="1080" xr:uid="{00000000-0005-0000-0000-000065020000}"/>
    <cellStyle name="Commentaire 24 2" xfId="3177" xr:uid="{00000000-0005-0000-0000-000066020000}"/>
    <cellStyle name="Commentaire 25" xfId="1065" xr:uid="{00000000-0005-0000-0000-000067020000}"/>
    <cellStyle name="Commentaire 26" xfId="3162" xr:uid="{00000000-0005-0000-0000-000068020000}"/>
    <cellStyle name="Commentaire 3" xfId="1081" xr:uid="{00000000-0005-0000-0000-000069020000}"/>
    <cellStyle name="Commentaire 3 2" xfId="3178" xr:uid="{00000000-0005-0000-0000-00006A020000}"/>
    <cellStyle name="Commentaire 4" xfId="1082" xr:uid="{00000000-0005-0000-0000-00006B020000}"/>
    <cellStyle name="Commentaire 4 2" xfId="3179" xr:uid="{00000000-0005-0000-0000-00006C020000}"/>
    <cellStyle name="Commentaire 5" xfId="1083" xr:uid="{00000000-0005-0000-0000-00006D020000}"/>
    <cellStyle name="Commentaire 5 2" xfId="3180" xr:uid="{00000000-0005-0000-0000-00006E020000}"/>
    <cellStyle name="Commentaire 6" xfId="1084" xr:uid="{00000000-0005-0000-0000-00006F020000}"/>
    <cellStyle name="Commentaire 6 2" xfId="3181" xr:uid="{00000000-0005-0000-0000-000070020000}"/>
    <cellStyle name="Commentaire 7" xfId="1085" xr:uid="{00000000-0005-0000-0000-000071020000}"/>
    <cellStyle name="Commentaire 7 2" xfId="3182" xr:uid="{00000000-0005-0000-0000-000072020000}"/>
    <cellStyle name="Commentaire 8" xfId="1086" xr:uid="{00000000-0005-0000-0000-000073020000}"/>
    <cellStyle name="Commentaire 8 2" xfId="3183" xr:uid="{00000000-0005-0000-0000-000074020000}"/>
    <cellStyle name="Commentaire 9" xfId="1087" xr:uid="{00000000-0005-0000-0000-000075020000}"/>
    <cellStyle name="Commentaire 9 2" xfId="3184" xr:uid="{00000000-0005-0000-0000-000076020000}"/>
    <cellStyle name="Entrée 2" xfId="104" xr:uid="{00000000-0005-0000-0000-000077020000}"/>
    <cellStyle name="Entrée 2 2" xfId="3160" xr:uid="{00000000-0005-0000-0000-000078020000}"/>
    <cellStyle name="Entrée 3" xfId="1088" xr:uid="{00000000-0005-0000-0000-000079020000}"/>
    <cellStyle name="Entrée 4" xfId="3185" xr:uid="{00000000-0005-0000-0000-00007A020000}"/>
    <cellStyle name="Euro" xfId="105" xr:uid="{00000000-0005-0000-0000-00007B020000}"/>
    <cellStyle name="Explanatory Text 2" xfId="106" xr:uid="{00000000-0005-0000-0000-00007C020000}"/>
    <cellStyle name="Followed Hyperlink" xfId="3157" builtinId="9" hidden="1"/>
    <cellStyle name="Followed Hyperlink" xfId="3187" builtinId="9" hidden="1"/>
    <cellStyle name="Followed Hyperlink" xfId="3189" builtinId="9" hidden="1"/>
    <cellStyle name="Followed Hyperlink" xfId="3191" builtinId="9" hidden="1"/>
    <cellStyle name="Followed Hyperlink" xfId="3193" builtinId="9" hidden="1"/>
    <cellStyle name="Followed Hyperlink" xfId="3195" builtinId="9" hidden="1"/>
    <cellStyle name="Followed Hyperlink" xfId="3197" builtinId="9" hidden="1"/>
    <cellStyle name="Followed Hyperlink" xfId="3202" builtinId="9" hidden="1"/>
    <cellStyle name="Good 2" xfId="107" xr:uid="{00000000-0005-0000-0000-00007D020000}"/>
    <cellStyle name="Heading 1 2" xfId="108" xr:uid="{00000000-0005-0000-0000-00007E020000}"/>
    <cellStyle name="Heading 2 2" xfId="109" xr:uid="{00000000-0005-0000-0000-00007F020000}"/>
    <cellStyle name="Heading 3 2" xfId="110" xr:uid="{00000000-0005-0000-0000-000080020000}"/>
    <cellStyle name="Heading 3 2 2" xfId="3198" xr:uid="{00000000-0005-0000-0000-000081020000}"/>
    <cellStyle name="Heading 4 2" xfId="111" xr:uid="{00000000-0005-0000-0000-000082020000}"/>
    <cellStyle name="Hyperlink" xfId="3156" builtinId="8" hidden="1"/>
    <cellStyle name="Hyperlink" xfId="3186" builtinId="8" hidden="1"/>
    <cellStyle name="Hyperlink" xfId="3188" builtinId="8" hidden="1"/>
    <cellStyle name="Hyperlink" xfId="3190" builtinId="8" hidden="1"/>
    <cellStyle name="Hyperlink" xfId="3192" builtinId="8" hidden="1"/>
    <cellStyle name="Hyperlink" xfId="3194" builtinId="8" hidden="1"/>
    <cellStyle name="Hyperlink" xfId="3196" builtinId="8" hidden="1"/>
    <cellStyle name="Hyperlink" xfId="3201" builtinId="8" hidden="1"/>
    <cellStyle name="Hyperlink" xfId="3203" builtinId="8"/>
    <cellStyle name="Insatisfaisant 2" xfId="112" xr:uid="{00000000-0005-0000-0000-000083020000}"/>
    <cellStyle name="Insatisfaisant 3" xfId="1089" xr:uid="{00000000-0005-0000-0000-000084020000}"/>
    <cellStyle name="Milliers 10" xfId="113" xr:uid="{00000000-0005-0000-0000-000096020000}"/>
    <cellStyle name="Milliers 10 2" xfId="114" xr:uid="{00000000-0005-0000-0000-000097020000}"/>
    <cellStyle name="Milliers 12" xfId="115" xr:uid="{00000000-0005-0000-0000-000098020000}"/>
    <cellStyle name="Milliers 12 2" xfId="116" xr:uid="{00000000-0005-0000-0000-000099020000}"/>
    <cellStyle name="Milliers 2" xfId="117" xr:uid="{00000000-0005-0000-0000-00009A020000}"/>
    <cellStyle name="Milliers 2 10" xfId="118" xr:uid="{00000000-0005-0000-0000-00009B020000}"/>
    <cellStyle name="Milliers 2 2" xfId="119" xr:uid="{00000000-0005-0000-0000-00009C020000}"/>
    <cellStyle name="Milliers 3" xfId="120" xr:uid="{00000000-0005-0000-0000-00009D020000}"/>
    <cellStyle name="Milliers 3 2" xfId="121" xr:uid="{00000000-0005-0000-0000-00009E020000}"/>
    <cellStyle name="Milliers 4" xfId="717" xr:uid="{00000000-0005-0000-0000-00009F020000}"/>
    <cellStyle name="Milliers 5" xfId="122" xr:uid="{00000000-0005-0000-0000-0000A0020000}"/>
    <cellStyle name="Milliers 5 2" xfId="123" xr:uid="{00000000-0005-0000-0000-0000A1020000}"/>
    <cellStyle name="Milliers 5 3" xfId="124" xr:uid="{00000000-0005-0000-0000-0000A2020000}"/>
    <cellStyle name="Milliers 5 4" xfId="125" xr:uid="{00000000-0005-0000-0000-0000A3020000}"/>
    <cellStyle name="Milliers 5 5" xfId="126" xr:uid="{00000000-0005-0000-0000-0000A4020000}"/>
    <cellStyle name="Milliers 5 6" xfId="127" xr:uid="{00000000-0005-0000-0000-0000A5020000}"/>
    <cellStyle name="Milliers 5 7" xfId="128" xr:uid="{00000000-0005-0000-0000-0000A6020000}"/>
    <cellStyle name="Milliers 5 8" xfId="129" xr:uid="{00000000-0005-0000-0000-0000A7020000}"/>
    <cellStyle name="Milliers 6" xfId="130" xr:uid="{00000000-0005-0000-0000-0000A8020000}"/>
    <cellStyle name="Monétaire 2" xfId="131" xr:uid="{00000000-0005-0000-0000-0000A9020000}"/>
    <cellStyle name="Neutral 2" xfId="132" xr:uid="{00000000-0005-0000-0000-0000AA020000}"/>
    <cellStyle name="Neutre 2" xfId="133" xr:uid="{00000000-0005-0000-0000-0000AB020000}"/>
    <cellStyle name="Neutre 3" xfId="1090" xr:uid="{00000000-0005-0000-0000-0000AC020000}"/>
    <cellStyle name="Normal" xfId="0" builtinId="0"/>
    <cellStyle name="Normal 10" xfId="134" xr:uid="{00000000-0005-0000-0000-0000AE020000}"/>
    <cellStyle name="Normal 10 2" xfId="135" xr:uid="{00000000-0005-0000-0000-0000AF020000}"/>
    <cellStyle name="Normal 10 2 2" xfId="136" xr:uid="{00000000-0005-0000-0000-0000B0020000}"/>
    <cellStyle name="Normal 10 2 2 2" xfId="137" xr:uid="{00000000-0005-0000-0000-0000B1020000}"/>
    <cellStyle name="Normal 10 2 2 2 2" xfId="730" xr:uid="{00000000-0005-0000-0000-0000B2020000}"/>
    <cellStyle name="Normal 10 2 2 2 2 2" xfId="1303" xr:uid="{00000000-0005-0000-0000-0000B3020000}"/>
    <cellStyle name="Normal 10 2 2 2 2 2 2" xfId="1959" xr:uid="{00000000-0005-0000-0000-0000B4020000}"/>
    <cellStyle name="Normal 10 2 2 2 2 3" xfId="1958" xr:uid="{00000000-0005-0000-0000-0000B5020000}"/>
    <cellStyle name="Normal 10 2 2 2 3" xfId="1302" xr:uid="{00000000-0005-0000-0000-0000B6020000}"/>
    <cellStyle name="Normal 10 2 2 2 3 2" xfId="1960" xr:uid="{00000000-0005-0000-0000-0000B7020000}"/>
    <cellStyle name="Normal 10 2 2 2 4" xfId="1957" xr:uid="{00000000-0005-0000-0000-0000B8020000}"/>
    <cellStyle name="Normal 10 2 2 3" xfId="1301" xr:uid="{00000000-0005-0000-0000-0000B9020000}"/>
    <cellStyle name="Normal 10 2 2 3 2" xfId="1961" xr:uid="{00000000-0005-0000-0000-0000BA020000}"/>
    <cellStyle name="Normal 10 2 2 4" xfId="1956" xr:uid="{00000000-0005-0000-0000-0000BB020000}"/>
    <cellStyle name="Normal 10 2 3" xfId="138" xr:uid="{00000000-0005-0000-0000-0000BC020000}"/>
    <cellStyle name="Normal 10 2 3 2" xfId="1304" xr:uid="{00000000-0005-0000-0000-0000BD020000}"/>
    <cellStyle name="Normal 10 2 3 2 2" xfId="1963" xr:uid="{00000000-0005-0000-0000-0000BE020000}"/>
    <cellStyle name="Normal 10 2 3 3" xfId="1962" xr:uid="{00000000-0005-0000-0000-0000BF020000}"/>
    <cellStyle name="Normal 10 2 4" xfId="1300" xr:uid="{00000000-0005-0000-0000-0000C0020000}"/>
    <cellStyle name="Normal 10 2 4 2" xfId="1964" xr:uid="{00000000-0005-0000-0000-0000C1020000}"/>
    <cellStyle name="Normal 10 2 5" xfId="1955" xr:uid="{00000000-0005-0000-0000-0000C2020000}"/>
    <cellStyle name="Normal 10 3" xfId="139" xr:uid="{00000000-0005-0000-0000-0000C3020000}"/>
    <cellStyle name="Normal 10 3 2" xfId="140" xr:uid="{00000000-0005-0000-0000-0000C4020000}"/>
    <cellStyle name="Normal 10 3 2 2" xfId="1306" xr:uid="{00000000-0005-0000-0000-0000C5020000}"/>
    <cellStyle name="Normal 10 3 2 2 2" xfId="1967" xr:uid="{00000000-0005-0000-0000-0000C6020000}"/>
    <cellStyle name="Normal 10 3 2 3" xfId="1966" xr:uid="{00000000-0005-0000-0000-0000C7020000}"/>
    <cellStyle name="Normal 10 3 3" xfId="1305" xr:uid="{00000000-0005-0000-0000-0000C8020000}"/>
    <cellStyle name="Normal 10 3 3 2" xfId="1968" xr:uid="{00000000-0005-0000-0000-0000C9020000}"/>
    <cellStyle name="Normal 10 3 4" xfId="1965" xr:uid="{00000000-0005-0000-0000-0000CA020000}"/>
    <cellStyle name="Normal 10 4" xfId="141" xr:uid="{00000000-0005-0000-0000-0000CB020000}"/>
    <cellStyle name="Normal 10 4 2" xfId="1307" xr:uid="{00000000-0005-0000-0000-0000CC020000}"/>
    <cellStyle name="Normal 10 4 2 2" xfId="1970" xr:uid="{00000000-0005-0000-0000-0000CD020000}"/>
    <cellStyle name="Normal 10 4 3" xfId="1969" xr:uid="{00000000-0005-0000-0000-0000CE020000}"/>
    <cellStyle name="Normal 10 5" xfId="1299" xr:uid="{00000000-0005-0000-0000-0000CF020000}"/>
    <cellStyle name="Normal 10 5 2" xfId="1971" xr:uid="{00000000-0005-0000-0000-0000D0020000}"/>
    <cellStyle name="Normal 10 6" xfId="1954" xr:uid="{00000000-0005-0000-0000-0000D1020000}"/>
    <cellStyle name="Normal 100" xfId="3153" xr:uid="{00000000-0005-0000-0000-0000D2020000}"/>
    <cellStyle name="Normal 11" xfId="142" xr:uid="{00000000-0005-0000-0000-0000D3020000}"/>
    <cellStyle name="Normal 11 2" xfId="143" xr:uid="{00000000-0005-0000-0000-0000D4020000}"/>
    <cellStyle name="Normal 11 3" xfId="144" xr:uid="{00000000-0005-0000-0000-0000D5020000}"/>
    <cellStyle name="Normal 11 3 10" xfId="3140" xr:uid="{00000000-0005-0000-0000-0000D6020000}"/>
    <cellStyle name="Normal 11 3 11" xfId="3142" xr:uid="{00000000-0005-0000-0000-0000D7020000}"/>
    <cellStyle name="Normal 11 3 2" xfId="145" xr:uid="{00000000-0005-0000-0000-0000D8020000}"/>
    <cellStyle name="Normal 11 3 2 2" xfId="146" xr:uid="{00000000-0005-0000-0000-0000D9020000}"/>
    <cellStyle name="Normal 11 3 2 2 2" xfId="7" xr:uid="{00000000-0005-0000-0000-0000DA020000}"/>
    <cellStyle name="Normal 11 3 2 2 2 2" xfId="147" xr:uid="{00000000-0005-0000-0000-0000DB020000}"/>
    <cellStyle name="Normal 11 3 2 2 2 2 2" xfId="1313" xr:uid="{00000000-0005-0000-0000-0000DC020000}"/>
    <cellStyle name="Normal 11 3 2 2 2 2 2 2" xfId="1976" xr:uid="{00000000-0005-0000-0000-0000DD020000}"/>
    <cellStyle name="Normal 11 3 2 2 2 2 3" xfId="1975" xr:uid="{00000000-0005-0000-0000-0000DE020000}"/>
    <cellStyle name="Normal 11 3 2 2 2 3" xfId="715" xr:uid="{00000000-0005-0000-0000-0000DF020000}"/>
    <cellStyle name="Normal 11 3 2 2 2 3 2" xfId="731" xr:uid="{00000000-0005-0000-0000-0000E0020000}"/>
    <cellStyle name="Normal 11 3 2 2 2 3 2 2" xfId="1251" xr:uid="{00000000-0005-0000-0000-0000E1020000}"/>
    <cellStyle name="Normal 11 3 2 2 2 3 2 2 2" xfId="1979" xr:uid="{00000000-0005-0000-0000-0000E2020000}"/>
    <cellStyle name="Normal 11 3 2 2 2 3 2 3" xfId="1978" xr:uid="{00000000-0005-0000-0000-0000E3020000}"/>
    <cellStyle name="Normal 11 3 2 2 2 3 3" xfId="1314" xr:uid="{00000000-0005-0000-0000-0000E4020000}"/>
    <cellStyle name="Normal 11 3 2 2 2 3 3 2" xfId="1980" xr:uid="{00000000-0005-0000-0000-0000E5020000}"/>
    <cellStyle name="Normal 11 3 2 2 2 3 4" xfId="1839" xr:uid="{00000000-0005-0000-0000-0000E6020000}"/>
    <cellStyle name="Normal 11 3 2 2 2 3 4 2" xfId="1981" xr:uid="{00000000-0005-0000-0000-0000E7020000}"/>
    <cellStyle name="Normal 11 3 2 2 2 3 5" xfId="1977" xr:uid="{00000000-0005-0000-0000-0000E8020000}"/>
    <cellStyle name="Normal 11 3 2 2 2 4" xfId="1312" xr:uid="{00000000-0005-0000-0000-0000E9020000}"/>
    <cellStyle name="Normal 11 3 2 2 2 4 2" xfId="1982" xr:uid="{00000000-0005-0000-0000-0000EA020000}"/>
    <cellStyle name="Normal 11 3 2 2 2 5" xfId="1974" xr:uid="{00000000-0005-0000-0000-0000EB020000}"/>
    <cellStyle name="Normal 11 3 2 2 3" xfId="148" xr:uid="{00000000-0005-0000-0000-0000EC020000}"/>
    <cellStyle name="Normal 11 3 2 2 3 2" xfId="1315" xr:uid="{00000000-0005-0000-0000-0000ED020000}"/>
    <cellStyle name="Normal 11 3 2 2 3 2 2" xfId="1984" xr:uid="{00000000-0005-0000-0000-0000EE020000}"/>
    <cellStyle name="Normal 11 3 2 2 3 3" xfId="1983" xr:uid="{00000000-0005-0000-0000-0000EF020000}"/>
    <cellStyle name="Normal 11 3 2 2 4" xfId="1311" xr:uid="{00000000-0005-0000-0000-0000F0020000}"/>
    <cellStyle name="Normal 11 3 2 2 4 2" xfId="1985" xr:uid="{00000000-0005-0000-0000-0000F1020000}"/>
    <cellStyle name="Normal 11 3 2 2 5" xfId="1973" xr:uid="{00000000-0005-0000-0000-0000F2020000}"/>
    <cellStyle name="Normal 11 3 2 3" xfId="149" xr:uid="{00000000-0005-0000-0000-0000F3020000}"/>
    <cellStyle name="Normal 11 3 2 3 2" xfId="1316" xr:uid="{00000000-0005-0000-0000-0000F4020000}"/>
    <cellStyle name="Normal 11 3 2 3 2 2" xfId="1987" xr:uid="{00000000-0005-0000-0000-0000F5020000}"/>
    <cellStyle name="Normal 11 3 2 3 3" xfId="1986" xr:uid="{00000000-0005-0000-0000-0000F6020000}"/>
    <cellStyle name="Normal 11 3 2 4" xfId="1310" xr:uid="{00000000-0005-0000-0000-0000F7020000}"/>
    <cellStyle name="Normal 11 3 2 4 2" xfId="1988" xr:uid="{00000000-0005-0000-0000-0000F8020000}"/>
    <cellStyle name="Normal 11 3 2 5" xfId="1972" xr:uid="{00000000-0005-0000-0000-0000F9020000}"/>
    <cellStyle name="Normal 11 3 3" xfId="150" xr:uid="{00000000-0005-0000-0000-0000FA020000}"/>
    <cellStyle name="Normal 11 3 3 2" xfId="151" xr:uid="{00000000-0005-0000-0000-0000FB020000}"/>
    <cellStyle name="Normal 11 3 3 2 2" xfId="152" xr:uid="{00000000-0005-0000-0000-0000FC020000}"/>
    <cellStyle name="Normal 11 3 3 2 2 2" xfId="1319" xr:uid="{00000000-0005-0000-0000-0000FD020000}"/>
    <cellStyle name="Normal 11 3 3 2 2 2 2" xfId="1992" xr:uid="{00000000-0005-0000-0000-0000FE020000}"/>
    <cellStyle name="Normal 11 3 3 2 2 3" xfId="1991" xr:uid="{00000000-0005-0000-0000-0000FF020000}"/>
    <cellStyle name="Normal 11 3 3 2 3" xfId="1318" xr:uid="{00000000-0005-0000-0000-000000030000}"/>
    <cellStyle name="Normal 11 3 3 2 3 2" xfId="1993" xr:uid="{00000000-0005-0000-0000-000001030000}"/>
    <cellStyle name="Normal 11 3 3 2 4" xfId="1990" xr:uid="{00000000-0005-0000-0000-000002030000}"/>
    <cellStyle name="Normal 11 3 3 3" xfId="153" xr:uid="{00000000-0005-0000-0000-000003030000}"/>
    <cellStyle name="Normal 11 3 3 3 2" xfId="1320" xr:uid="{00000000-0005-0000-0000-000004030000}"/>
    <cellStyle name="Normal 11 3 3 3 2 2" xfId="1995" xr:uid="{00000000-0005-0000-0000-000005030000}"/>
    <cellStyle name="Normal 11 3 3 3 3" xfId="1994" xr:uid="{00000000-0005-0000-0000-000006030000}"/>
    <cellStyle name="Normal 11 3 3 4" xfId="1317" xr:uid="{00000000-0005-0000-0000-000007030000}"/>
    <cellStyle name="Normal 11 3 3 4 2" xfId="1996" xr:uid="{00000000-0005-0000-0000-000008030000}"/>
    <cellStyle name="Normal 11 3 3 5" xfId="1989" xr:uid="{00000000-0005-0000-0000-000009030000}"/>
    <cellStyle name="Normal 11 3 4" xfId="154" xr:uid="{00000000-0005-0000-0000-00000A030000}"/>
    <cellStyle name="Normal 11 3 4 2" xfId="155" xr:uid="{00000000-0005-0000-0000-00000B030000}"/>
    <cellStyle name="Normal 11 3 4 2 2" xfId="156" xr:uid="{00000000-0005-0000-0000-00000C030000}"/>
    <cellStyle name="Normal 11 3 4 2 2 2" xfId="1323" xr:uid="{00000000-0005-0000-0000-00000D030000}"/>
    <cellStyle name="Normal 11 3 4 2 2 2 2" xfId="2000" xr:uid="{00000000-0005-0000-0000-00000E030000}"/>
    <cellStyle name="Normal 11 3 4 2 2 3" xfId="1999" xr:uid="{00000000-0005-0000-0000-00000F030000}"/>
    <cellStyle name="Normal 11 3 4 2 3" xfId="1322" xr:uid="{00000000-0005-0000-0000-000010030000}"/>
    <cellStyle name="Normal 11 3 4 2 3 2" xfId="2001" xr:uid="{00000000-0005-0000-0000-000011030000}"/>
    <cellStyle name="Normal 11 3 4 2 4" xfId="1998" xr:uid="{00000000-0005-0000-0000-000012030000}"/>
    <cellStyle name="Normal 11 3 4 3" xfId="157" xr:uid="{00000000-0005-0000-0000-000013030000}"/>
    <cellStyle name="Normal 11 3 4 3 2" xfId="1324" xr:uid="{00000000-0005-0000-0000-000014030000}"/>
    <cellStyle name="Normal 11 3 4 3 2 2" xfId="2003" xr:uid="{00000000-0005-0000-0000-000015030000}"/>
    <cellStyle name="Normal 11 3 4 3 3" xfId="2002" xr:uid="{00000000-0005-0000-0000-000016030000}"/>
    <cellStyle name="Normal 11 3 4 4" xfId="1321" xr:uid="{00000000-0005-0000-0000-000017030000}"/>
    <cellStyle name="Normal 11 3 4 4 2" xfId="2004" xr:uid="{00000000-0005-0000-0000-000018030000}"/>
    <cellStyle name="Normal 11 3 4 5" xfId="1997" xr:uid="{00000000-0005-0000-0000-000019030000}"/>
    <cellStyle name="Normal 11 3 5" xfId="158" xr:uid="{00000000-0005-0000-0000-00001A030000}"/>
    <cellStyle name="Normal 11 3 5 2" xfId="159" xr:uid="{00000000-0005-0000-0000-00001B030000}"/>
    <cellStyle name="Normal 11 3 5 2 2" xfId="1326" xr:uid="{00000000-0005-0000-0000-00001C030000}"/>
    <cellStyle name="Normal 11 3 5 2 2 2" xfId="2007" xr:uid="{00000000-0005-0000-0000-00001D030000}"/>
    <cellStyle name="Normal 11 3 5 2 3" xfId="2006" xr:uid="{00000000-0005-0000-0000-00001E030000}"/>
    <cellStyle name="Normal 11 3 5 3" xfId="1325" xr:uid="{00000000-0005-0000-0000-00001F030000}"/>
    <cellStyle name="Normal 11 3 5 3 2" xfId="2008" xr:uid="{00000000-0005-0000-0000-000020030000}"/>
    <cellStyle name="Normal 11 3 5 4" xfId="2005" xr:uid="{00000000-0005-0000-0000-000021030000}"/>
    <cellStyle name="Normal 11 3 6" xfId="160" xr:uid="{00000000-0005-0000-0000-000022030000}"/>
    <cellStyle name="Normal 11 3 6 2" xfId="161" xr:uid="{00000000-0005-0000-0000-000023030000}"/>
    <cellStyle name="Normal 11 3 6 2 2" xfId="1328" xr:uid="{00000000-0005-0000-0000-000024030000}"/>
    <cellStyle name="Normal 11 3 6 2 2 2" xfId="2011" xr:uid="{00000000-0005-0000-0000-000025030000}"/>
    <cellStyle name="Normal 11 3 6 2 3" xfId="2010" xr:uid="{00000000-0005-0000-0000-000026030000}"/>
    <cellStyle name="Normal 11 3 6 3" xfId="1327" xr:uid="{00000000-0005-0000-0000-000027030000}"/>
    <cellStyle name="Normal 11 3 6 3 2" xfId="2012" xr:uid="{00000000-0005-0000-0000-000028030000}"/>
    <cellStyle name="Normal 11 3 6 4" xfId="2009" xr:uid="{00000000-0005-0000-0000-000029030000}"/>
    <cellStyle name="Normal 11 3 7" xfId="162" xr:uid="{00000000-0005-0000-0000-00002A030000}"/>
    <cellStyle name="Normal 11 3 7 2" xfId="163" xr:uid="{00000000-0005-0000-0000-00002B030000}"/>
    <cellStyle name="Normal 11 3 7 2 2" xfId="1330" xr:uid="{00000000-0005-0000-0000-00002C030000}"/>
    <cellStyle name="Normal 11 3 7 2 2 2" xfId="2014" xr:uid="{00000000-0005-0000-0000-00002D030000}"/>
    <cellStyle name="Normal 11 3 7 2 3" xfId="2013" xr:uid="{00000000-0005-0000-0000-00002E030000}"/>
    <cellStyle name="Normal 11 3 7 3" xfId="1329" xr:uid="{00000000-0005-0000-0000-00002F030000}"/>
    <cellStyle name="Normal 11 3 7 3 2" xfId="2015" xr:uid="{00000000-0005-0000-0000-000030030000}"/>
    <cellStyle name="Normal 11 3 7 4" xfId="1848" xr:uid="{00000000-0005-0000-0000-000031030000}"/>
    <cellStyle name="Normal 11 3 7 4 2" xfId="2016" xr:uid="{00000000-0005-0000-0000-000032030000}"/>
    <cellStyle name="Normal 11 3 7 5" xfId="1852" xr:uid="{00000000-0005-0000-0000-000033030000}"/>
    <cellStyle name="Normal 11 3 7 6" xfId="3133" xr:uid="{00000000-0005-0000-0000-000034030000}"/>
    <cellStyle name="Normal 11 3 8" xfId="164" xr:uid="{00000000-0005-0000-0000-000035030000}"/>
    <cellStyle name="Normal 11 3 8 2" xfId="1331" xr:uid="{00000000-0005-0000-0000-000036030000}"/>
    <cellStyle name="Normal 11 3 8 2 2" xfId="2018" xr:uid="{00000000-0005-0000-0000-000037030000}"/>
    <cellStyle name="Normal 11 3 8 3" xfId="2017" xr:uid="{00000000-0005-0000-0000-000038030000}"/>
    <cellStyle name="Normal 11 3 8 4" xfId="3139" xr:uid="{00000000-0005-0000-0000-000039030000}"/>
    <cellStyle name="Normal 11 3 8 5" xfId="3148" xr:uid="{00000000-0005-0000-0000-00003A030000}"/>
    <cellStyle name="Normal 11 3 9" xfId="1309" xr:uid="{00000000-0005-0000-0000-00003B030000}"/>
    <cellStyle name="Normal 11 3 9 2" xfId="2019" xr:uid="{00000000-0005-0000-0000-00003C030000}"/>
    <cellStyle name="Normal 11 4" xfId="165" xr:uid="{00000000-0005-0000-0000-00003D030000}"/>
    <cellStyle name="Normal 11 4 2" xfId="166" xr:uid="{00000000-0005-0000-0000-00003E030000}"/>
    <cellStyle name="Normal 11 4 2 2" xfId="167" xr:uid="{00000000-0005-0000-0000-00003F030000}"/>
    <cellStyle name="Normal 11 4 2 2 2" xfId="1334" xr:uid="{00000000-0005-0000-0000-000040030000}"/>
    <cellStyle name="Normal 11 4 2 2 2 2" xfId="2023" xr:uid="{00000000-0005-0000-0000-000041030000}"/>
    <cellStyle name="Normal 11 4 2 2 3" xfId="2022" xr:uid="{00000000-0005-0000-0000-000042030000}"/>
    <cellStyle name="Normal 11 4 2 3" xfId="1333" xr:uid="{00000000-0005-0000-0000-000043030000}"/>
    <cellStyle name="Normal 11 4 2 3 2" xfId="2024" xr:uid="{00000000-0005-0000-0000-000044030000}"/>
    <cellStyle name="Normal 11 4 2 4" xfId="2021" xr:uid="{00000000-0005-0000-0000-000045030000}"/>
    <cellStyle name="Normal 11 4 3" xfId="168" xr:uid="{00000000-0005-0000-0000-000046030000}"/>
    <cellStyle name="Normal 11 4 3 2" xfId="1335" xr:uid="{00000000-0005-0000-0000-000047030000}"/>
    <cellStyle name="Normal 11 4 3 2 2" xfId="2026" xr:uid="{00000000-0005-0000-0000-000048030000}"/>
    <cellStyle name="Normal 11 4 3 3" xfId="2025" xr:uid="{00000000-0005-0000-0000-000049030000}"/>
    <cellStyle name="Normal 11 4 4" xfId="1332" xr:uid="{00000000-0005-0000-0000-00004A030000}"/>
    <cellStyle name="Normal 11 4 4 2" xfId="2027" xr:uid="{00000000-0005-0000-0000-00004B030000}"/>
    <cellStyle name="Normal 11 4 5" xfId="2020" xr:uid="{00000000-0005-0000-0000-00004C030000}"/>
    <cellStyle name="Normal 11 5" xfId="169" xr:uid="{00000000-0005-0000-0000-00004D030000}"/>
    <cellStyle name="Normal 11 5 2" xfId="170" xr:uid="{00000000-0005-0000-0000-00004E030000}"/>
    <cellStyle name="Normal 11 5 2 2" xfId="1337" xr:uid="{00000000-0005-0000-0000-00004F030000}"/>
    <cellStyle name="Normal 11 5 2 2 2" xfId="2030" xr:uid="{00000000-0005-0000-0000-000050030000}"/>
    <cellStyle name="Normal 11 5 2 3" xfId="2029" xr:uid="{00000000-0005-0000-0000-000051030000}"/>
    <cellStyle name="Normal 11 5 3" xfId="1336" xr:uid="{00000000-0005-0000-0000-000052030000}"/>
    <cellStyle name="Normal 11 5 3 2" xfId="2031" xr:uid="{00000000-0005-0000-0000-000053030000}"/>
    <cellStyle name="Normal 11 5 4" xfId="2028" xr:uid="{00000000-0005-0000-0000-000054030000}"/>
    <cellStyle name="Normal 11 6" xfId="171" xr:uid="{00000000-0005-0000-0000-000055030000}"/>
    <cellStyle name="Normal 11 6 2" xfId="1338" xr:uid="{00000000-0005-0000-0000-000056030000}"/>
    <cellStyle name="Normal 11 6 2 2" xfId="2033" xr:uid="{00000000-0005-0000-0000-000057030000}"/>
    <cellStyle name="Normal 11 6 3" xfId="2032" xr:uid="{00000000-0005-0000-0000-000058030000}"/>
    <cellStyle name="Normal 11 7" xfId="1308" xr:uid="{00000000-0005-0000-0000-000059030000}"/>
    <cellStyle name="Normal 11 7 2" xfId="2034" xr:uid="{00000000-0005-0000-0000-00005A030000}"/>
    <cellStyle name="Normal 12" xfId="172" xr:uid="{00000000-0005-0000-0000-00005B030000}"/>
    <cellStyle name="Normal 13" xfId="173" xr:uid="{00000000-0005-0000-0000-00005C030000}"/>
    <cellStyle name="Normal 14" xfId="174" xr:uid="{00000000-0005-0000-0000-00005D030000}"/>
    <cellStyle name="Normal 15" xfId="175" xr:uid="{00000000-0005-0000-0000-00005E030000}"/>
    <cellStyle name="Normal 15 2" xfId="176" xr:uid="{00000000-0005-0000-0000-00005F030000}"/>
    <cellStyle name="Normal 15 2 2" xfId="177" xr:uid="{00000000-0005-0000-0000-000060030000}"/>
    <cellStyle name="Normal 15 2 2 2" xfId="1341" xr:uid="{00000000-0005-0000-0000-000061030000}"/>
    <cellStyle name="Normal 15 2 2 2 2" xfId="2038" xr:uid="{00000000-0005-0000-0000-000062030000}"/>
    <cellStyle name="Normal 15 2 2 3" xfId="2037" xr:uid="{00000000-0005-0000-0000-000063030000}"/>
    <cellStyle name="Normal 15 2 3" xfId="1340" xr:uid="{00000000-0005-0000-0000-000064030000}"/>
    <cellStyle name="Normal 15 2 3 2" xfId="2039" xr:uid="{00000000-0005-0000-0000-000065030000}"/>
    <cellStyle name="Normal 15 2 4" xfId="2036" xr:uid="{00000000-0005-0000-0000-000066030000}"/>
    <cellStyle name="Normal 15 3" xfId="178" xr:uid="{00000000-0005-0000-0000-000067030000}"/>
    <cellStyle name="Normal 15 4" xfId="179" xr:uid="{00000000-0005-0000-0000-000068030000}"/>
    <cellStyle name="Normal 15 4 2" xfId="1342" xr:uid="{00000000-0005-0000-0000-000069030000}"/>
    <cellStyle name="Normal 15 4 2 2" xfId="2041" xr:uid="{00000000-0005-0000-0000-00006A030000}"/>
    <cellStyle name="Normal 15 4 3" xfId="2040" xr:uid="{00000000-0005-0000-0000-00006B030000}"/>
    <cellStyle name="Normal 15 5" xfId="1339" xr:uid="{00000000-0005-0000-0000-00006C030000}"/>
    <cellStyle name="Normal 15 5 2" xfId="2042" xr:uid="{00000000-0005-0000-0000-00006D030000}"/>
    <cellStyle name="Normal 15 6" xfId="2035" xr:uid="{00000000-0005-0000-0000-00006E030000}"/>
    <cellStyle name="Normal 16" xfId="180" xr:uid="{00000000-0005-0000-0000-00006F030000}"/>
    <cellStyle name="Normal 16 2" xfId="181" xr:uid="{00000000-0005-0000-0000-000070030000}"/>
    <cellStyle name="Normal 16 2 2" xfId="182" xr:uid="{00000000-0005-0000-0000-000071030000}"/>
    <cellStyle name="Normal 16 2 2 2" xfId="1345" xr:uid="{00000000-0005-0000-0000-000072030000}"/>
    <cellStyle name="Normal 16 2 2 2 2" xfId="2046" xr:uid="{00000000-0005-0000-0000-000073030000}"/>
    <cellStyle name="Normal 16 2 2 3" xfId="2045" xr:uid="{00000000-0005-0000-0000-000074030000}"/>
    <cellStyle name="Normal 16 2 3" xfId="1344" xr:uid="{00000000-0005-0000-0000-000075030000}"/>
    <cellStyle name="Normal 16 2 3 2" xfId="2047" xr:uid="{00000000-0005-0000-0000-000076030000}"/>
    <cellStyle name="Normal 16 2 4" xfId="2044" xr:uid="{00000000-0005-0000-0000-000077030000}"/>
    <cellStyle name="Normal 16 3" xfId="183" xr:uid="{00000000-0005-0000-0000-000078030000}"/>
    <cellStyle name="Normal 16 3 2" xfId="1346" xr:uid="{00000000-0005-0000-0000-000079030000}"/>
    <cellStyle name="Normal 16 3 2 2" xfId="2049" xr:uid="{00000000-0005-0000-0000-00007A030000}"/>
    <cellStyle name="Normal 16 3 3" xfId="2048" xr:uid="{00000000-0005-0000-0000-00007B030000}"/>
    <cellStyle name="Normal 16 4" xfId="1343" xr:uid="{00000000-0005-0000-0000-00007C030000}"/>
    <cellStyle name="Normal 16 4 2" xfId="2050" xr:uid="{00000000-0005-0000-0000-00007D030000}"/>
    <cellStyle name="Normal 16 5" xfId="2043" xr:uid="{00000000-0005-0000-0000-00007E030000}"/>
    <cellStyle name="Normal 17" xfId="184" xr:uid="{00000000-0005-0000-0000-00007F030000}"/>
    <cellStyle name="Normal 17 2" xfId="185" xr:uid="{00000000-0005-0000-0000-000080030000}"/>
    <cellStyle name="Normal 17 2 2" xfId="1348" xr:uid="{00000000-0005-0000-0000-000081030000}"/>
    <cellStyle name="Normal 17 2 2 2" xfId="2053" xr:uid="{00000000-0005-0000-0000-000082030000}"/>
    <cellStyle name="Normal 17 2 3" xfId="2052" xr:uid="{00000000-0005-0000-0000-000083030000}"/>
    <cellStyle name="Normal 17 3" xfId="1347" xr:uid="{00000000-0005-0000-0000-000084030000}"/>
    <cellStyle name="Normal 17 3 2" xfId="2054" xr:uid="{00000000-0005-0000-0000-000085030000}"/>
    <cellStyle name="Normal 17 4" xfId="2051" xr:uid="{00000000-0005-0000-0000-000086030000}"/>
    <cellStyle name="Normal 18" xfId="186" xr:uid="{00000000-0005-0000-0000-000087030000}"/>
    <cellStyle name="Normal 18 2" xfId="187" xr:uid="{00000000-0005-0000-0000-000088030000}"/>
    <cellStyle name="Normal 18 2 2" xfId="1350" xr:uid="{00000000-0005-0000-0000-000089030000}"/>
    <cellStyle name="Normal 18 2 2 2" xfId="2057" xr:uid="{00000000-0005-0000-0000-00008A030000}"/>
    <cellStyle name="Normal 18 2 3" xfId="2056" xr:uid="{00000000-0005-0000-0000-00008B030000}"/>
    <cellStyle name="Normal 18 3" xfId="1349" xr:uid="{00000000-0005-0000-0000-00008C030000}"/>
    <cellStyle name="Normal 18 3 2" xfId="2058" xr:uid="{00000000-0005-0000-0000-00008D030000}"/>
    <cellStyle name="Normal 18 4" xfId="2055" xr:uid="{00000000-0005-0000-0000-00008E030000}"/>
    <cellStyle name="Normal 19" xfId="188" xr:uid="{00000000-0005-0000-0000-00008F030000}"/>
    <cellStyle name="Normal 19 2" xfId="189" xr:uid="{00000000-0005-0000-0000-000090030000}"/>
    <cellStyle name="Normal 19 2 2" xfId="1352" xr:uid="{00000000-0005-0000-0000-000091030000}"/>
    <cellStyle name="Normal 19 2 2 2" xfId="2060" xr:uid="{00000000-0005-0000-0000-000092030000}"/>
    <cellStyle name="Normal 19 2 3" xfId="2059" xr:uid="{00000000-0005-0000-0000-000093030000}"/>
    <cellStyle name="Normal 19 3" xfId="1351" xr:uid="{00000000-0005-0000-0000-000094030000}"/>
    <cellStyle name="Normal 19 3 2" xfId="2061" xr:uid="{00000000-0005-0000-0000-000095030000}"/>
    <cellStyle name="Normal 19 4" xfId="1847" xr:uid="{00000000-0005-0000-0000-000096030000}"/>
    <cellStyle name="Normal 19 4 2" xfId="2062" xr:uid="{00000000-0005-0000-0000-000097030000}"/>
    <cellStyle name="Normal 19 5" xfId="1851" xr:uid="{00000000-0005-0000-0000-000098030000}"/>
    <cellStyle name="Normal 19 6" xfId="3132" xr:uid="{00000000-0005-0000-0000-000099030000}"/>
    <cellStyle name="Normal 2" xfId="190" xr:uid="{00000000-0005-0000-0000-00009A030000}"/>
    <cellStyle name="Normal 2 10" xfId="1091" xr:uid="{00000000-0005-0000-0000-00009B030000}"/>
    <cellStyle name="Normal 2 11" xfId="1092" xr:uid="{00000000-0005-0000-0000-00009C030000}"/>
    <cellStyle name="Normal 2 12" xfId="1093" xr:uid="{00000000-0005-0000-0000-00009D030000}"/>
    <cellStyle name="Normal 2 13" xfId="1094" xr:uid="{00000000-0005-0000-0000-00009E030000}"/>
    <cellStyle name="Normal 2 14" xfId="1095" xr:uid="{00000000-0005-0000-0000-00009F030000}"/>
    <cellStyle name="Normal 2 15" xfId="1096" xr:uid="{00000000-0005-0000-0000-0000A0030000}"/>
    <cellStyle name="Normal 2 15 2" xfId="2064" xr:uid="{00000000-0005-0000-0000-0000A1030000}"/>
    <cellStyle name="Normal 2 16" xfId="1097" xr:uid="{00000000-0005-0000-0000-0000A2030000}"/>
    <cellStyle name="Normal 2 16 2" xfId="2065" xr:uid="{00000000-0005-0000-0000-0000A3030000}"/>
    <cellStyle name="Normal 2 17" xfId="1098" xr:uid="{00000000-0005-0000-0000-0000A4030000}"/>
    <cellStyle name="Normal 2 17 2" xfId="2066" xr:uid="{00000000-0005-0000-0000-0000A5030000}"/>
    <cellStyle name="Normal 2 18" xfId="1099" xr:uid="{00000000-0005-0000-0000-0000A6030000}"/>
    <cellStyle name="Normal 2 18 2" xfId="2067" xr:uid="{00000000-0005-0000-0000-0000A7030000}"/>
    <cellStyle name="Normal 2 19" xfId="1100" xr:uid="{00000000-0005-0000-0000-0000A8030000}"/>
    <cellStyle name="Normal 2 19 2" xfId="2068" xr:uid="{00000000-0005-0000-0000-0000A9030000}"/>
    <cellStyle name="Normal 2 2" xfId="191" xr:uid="{00000000-0005-0000-0000-0000AA030000}"/>
    <cellStyle name="Normal 2 2 10" xfId="192" xr:uid="{00000000-0005-0000-0000-0000AB030000}"/>
    <cellStyle name="Normal 2 2 10 2" xfId="193" xr:uid="{00000000-0005-0000-0000-0000AC030000}"/>
    <cellStyle name="Normal 2 2 10 2 2" xfId="1356" xr:uid="{00000000-0005-0000-0000-0000AD030000}"/>
    <cellStyle name="Normal 2 2 10 2 2 2" xfId="2072" xr:uid="{00000000-0005-0000-0000-0000AE030000}"/>
    <cellStyle name="Normal 2 2 10 2 3" xfId="2071" xr:uid="{00000000-0005-0000-0000-0000AF030000}"/>
    <cellStyle name="Normal 2 2 10 3" xfId="1355" xr:uid="{00000000-0005-0000-0000-0000B0030000}"/>
    <cellStyle name="Normal 2 2 10 3 2" xfId="2073" xr:uid="{00000000-0005-0000-0000-0000B1030000}"/>
    <cellStyle name="Normal 2 2 10 4" xfId="2070" xr:uid="{00000000-0005-0000-0000-0000B2030000}"/>
    <cellStyle name="Normal 2 2 11" xfId="194" xr:uid="{00000000-0005-0000-0000-0000B3030000}"/>
    <cellStyle name="Normal 2 2 11 2" xfId="1357" xr:uid="{00000000-0005-0000-0000-0000B4030000}"/>
    <cellStyle name="Normal 2 2 11 2 2" xfId="2075" xr:uid="{00000000-0005-0000-0000-0000B5030000}"/>
    <cellStyle name="Normal 2 2 11 3" xfId="2074" xr:uid="{00000000-0005-0000-0000-0000B6030000}"/>
    <cellStyle name="Normal 2 2 12" xfId="1354" xr:uid="{00000000-0005-0000-0000-0000B7030000}"/>
    <cellStyle name="Normal 2 2 12 2" xfId="2076" xr:uid="{00000000-0005-0000-0000-0000B8030000}"/>
    <cellStyle name="Normal 2 2 13" xfId="2069" xr:uid="{00000000-0005-0000-0000-0000B9030000}"/>
    <cellStyle name="Normal 2 2 2" xfId="195" xr:uid="{00000000-0005-0000-0000-0000BA030000}"/>
    <cellStyle name="Normal 2 2 3" xfId="196" xr:uid="{00000000-0005-0000-0000-0000BB030000}"/>
    <cellStyle name="Normal 2 2 4" xfId="197" xr:uid="{00000000-0005-0000-0000-0000BC030000}"/>
    <cellStyle name="Normal 2 2 5" xfId="198" xr:uid="{00000000-0005-0000-0000-0000BD030000}"/>
    <cellStyle name="Normal 2 2 6" xfId="199" xr:uid="{00000000-0005-0000-0000-0000BE030000}"/>
    <cellStyle name="Normal 2 2 7" xfId="200" xr:uid="{00000000-0005-0000-0000-0000BF030000}"/>
    <cellStyle name="Normal 2 2 8" xfId="201" xr:uid="{00000000-0005-0000-0000-0000C0030000}"/>
    <cellStyle name="Normal 2 2 9" xfId="202" xr:uid="{00000000-0005-0000-0000-0000C1030000}"/>
    <cellStyle name="Normal 2 2 9 2" xfId="203" xr:uid="{00000000-0005-0000-0000-0000C2030000}"/>
    <cellStyle name="Normal 2 2 9 2 2" xfId="204" xr:uid="{00000000-0005-0000-0000-0000C3030000}"/>
    <cellStyle name="Normal 2 2 9 2 2 2" xfId="1360" xr:uid="{00000000-0005-0000-0000-0000C4030000}"/>
    <cellStyle name="Normal 2 2 9 2 2 2 2" xfId="2080" xr:uid="{00000000-0005-0000-0000-0000C5030000}"/>
    <cellStyle name="Normal 2 2 9 2 2 3" xfId="2079" xr:uid="{00000000-0005-0000-0000-0000C6030000}"/>
    <cellStyle name="Normal 2 2 9 2 3" xfId="1359" xr:uid="{00000000-0005-0000-0000-0000C7030000}"/>
    <cellStyle name="Normal 2 2 9 2 3 2" xfId="2081" xr:uid="{00000000-0005-0000-0000-0000C8030000}"/>
    <cellStyle name="Normal 2 2 9 2 4" xfId="2078" xr:uid="{00000000-0005-0000-0000-0000C9030000}"/>
    <cellStyle name="Normal 2 2 9 3" xfId="205" xr:uid="{00000000-0005-0000-0000-0000CA030000}"/>
    <cellStyle name="Normal 2 2 9 3 2" xfId="1361" xr:uid="{00000000-0005-0000-0000-0000CB030000}"/>
    <cellStyle name="Normal 2 2 9 3 2 2" xfId="2083" xr:uid="{00000000-0005-0000-0000-0000CC030000}"/>
    <cellStyle name="Normal 2 2 9 3 3" xfId="2082" xr:uid="{00000000-0005-0000-0000-0000CD030000}"/>
    <cellStyle name="Normal 2 2 9 4" xfId="1358" xr:uid="{00000000-0005-0000-0000-0000CE030000}"/>
    <cellStyle name="Normal 2 2 9 4 2" xfId="2084" xr:uid="{00000000-0005-0000-0000-0000CF030000}"/>
    <cellStyle name="Normal 2 2 9 5" xfId="2077" xr:uid="{00000000-0005-0000-0000-0000D0030000}"/>
    <cellStyle name="Normal 2 20" xfId="1101" xr:uid="{00000000-0005-0000-0000-0000D1030000}"/>
    <cellStyle name="Normal 2 20 2" xfId="2085" xr:uid="{00000000-0005-0000-0000-0000D2030000}"/>
    <cellStyle name="Normal 2 21" xfId="1102" xr:uid="{00000000-0005-0000-0000-0000D3030000}"/>
    <cellStyle name="Normal 2 21 2" xfId="2086" xr:uid="{00000000-0005-0000-0000-0000D4030000}"/>
    <cellStyle name="Normal 2 22" xfId="1103" xr:uid="{00000000-0005-0000-0000-0000D5030000}"/>
    <cellStyle name="Normal 2 22 2" xfId="2087" xr:uid="{00000000-0005-0000-0000-0000D6030000}"/>
    <cellStyle name="Normal 2 23" xfId="1104" xr:uid="{00000000-0005-0000-0000-0000D7030000}"/>
    <cellStyle name="Normal 2 23 2" xfId="2088" xr:uid="{00000000-0005-0000-0000-0000D8030000}"/>
    <cellStyle name="Normal 2 24" xfId="1105" xr:uid="{00000000-0005-0000-0000-0000D9030000}"/>
    <cellStyle name="Normal 2 24 2" xfId="2089" xr:uid="{00000000-0005-0000-0000-0000DA030000}"/>
    <cellStyle name="Normal 2 25" xfId="1106" xr:uid="{00000000-0005-0000-0000-0000DB030000}"/>
    <cellStyle name="Normal 2 25 2" xfId="2090" xr:uid="{00000000-0005-0000-0000-0000DC030000}"/>
    <cellStyle name="Normal 2 26" xfId="1107" xr:uid="{00000000-0005-0000-0000-0000DD030000}"/>
    <cellStyle name="Normal 2 26 2" xfId="2091" xr:uid="{00000000-0005-0000-0000-0000DE030000}"/>
    <cellStyle name="Normal 2 27" xfId="1108" xr:uid="{00000000-0005-0000-0000-0000DF030000}"/>
    <cellStyle name="Normal 2 27 2" xfId="2092" xr:uid="{00000000-0005-0000-0000-0000E0030000}"/>
    <cellStyle name="Normal 2 28" xfId="1109" xr:uid="{00000000-0005-0000-0000-0000E1030000}"/>
    <cellStyle name="Normal 2 28 2" xfId="2093" xr:uid="{00000000-0005-0000-0000-0000E2030000}"/>
    <cellStyle name="Normal 2 29" xfId="1110" xr:uid="{00000000-0005-0000-0000-0000E3030000}"/>
    <cellStyle name="Normal 2 29 2" xfId="2094" xr:uid="{00000000-0005-0000-0000-0000E4030000}"/>
    <cellStyle name="Normal 2 3" xfId="206" xr:uid="{00000000-0005-0000-0000-0000E5030000}"/>
    <cellStyle name="Normal 2 3 2" xfId="207" xr:uid="{00000000-0005-0000-0000-0000E6030000}"/>
    <cellStyle name="Normal 2 3 3" xfId="208" xr:uid="{00000000-0005-0000-0000-0000E7030000}"/>
    <cellStyle name="Normal 2 3 4" xfId="209" xr:uid="{00000000-0005-0000-0000-0000E8030000}"/>
    <cellStyle name="Normal 2 30" xfId="1111" xr:uid="{00000000-0005-0000-0000-0000E9030000}"/>
    <cellStyle name="Normal 2 30 2" xfId="2095" xr:uid="{00000000-0005-0000-0000-0000EA030000}"/>
    <cellStyle name="Normal 2 31" xfId="1112" xr:uid="{00000000-0005-0000-0000-0000EB030000}"/>
    <cellStyle name="Normal 2 31 2" xfId="2096" xr:uid="{00000000-0005-0000-0000-0000EC030000}"/>
    <cellStyle name="Normal 2 32" xfId="1113" xr:uid="{00000000-0005-0000-0000-0000ED030000}"/>
    <cellStyle name="Normal 2 32 2" xfId="2097" xr:uid="{00000000-0005-0000-0000-0000EE030000}"/>
    <cellStyle name="Normal 2 33" xfId="1114" xr:uid="{00000000-0005-0000-0000-0000EF030000}"/>
    <cellStyle name="Normal 2 33 2" xfId="2098" xr:uid="{00000000-0005-0000-0000-0000F0030000}"/>
    <cellStyle name="Normal 2 34" xfId="1115" xr:uid="{00000000-0005-0000-0000-0000F1030000}"/>
    <cellStyle name="Normal 2 34 2" xfId="2099" xr:uid="{00000000-0005-0000-0000-0000F2030000}"/>
    <cellStyle name="Normal 2 35" xfId="1116" xr:uid="{00000000-0005-0000-0000-0000F3030000}"/>
    <cellStyle name="Normal 2 35 2" xfId="2100" xr:uid="{00000000-0005-0000-0000-0000F4030000}"/>
    <cellStyle name="Normal 2 36" xfId="1117" xr:uid="{00000000-0005-0000-0000-0000F5030000}"/>
    <cellStyle name="Normal 2 36 2" xfId="2101" xr:uid="{00000000-0005-0000-0000-0000F6030000}"/>
    <cellStyle name="Normal 2 37" xfId="1118" xr:uid="{00000000-0005-0000-0000-0000F7030000}"/>
    <cellStyle name="Normal 2 37 2" xfId="2102" xr:uid="{00000000-0005-0000-0000-0000F8030000}"/>
    <cellStyle name="Normal 2 38" xfId="1353" xr:uid="{00000000-0005-0000-0000-0000F9030000}"/>
    <cellStyle name="Normal 2 38 2" xfId="2103" xr:uid="{00000000-0005-0000-0000-0000FA030000}"/>
    <cellStyle name="Normal 2 39" xfId="2063" xr:uid="{00000000-0005-0000-0000-0000FB030000}"/>
    <cellStyle name="Normal 2 4" xfId="210" xr:uid="{00000000-0005-0000-0000-0000FC030000}"/>
    <cellStyle name="Normal 2 5" xfId="211" xr:uid="{00000000-0005-0000-0000-0000FD030000}"/>
    <cellStyle name="Normal 2 6" xfId="212" xr:uid="{00000000-0005-0000-0000-0000FE030000}"/>
    <cellStyle name="Normal 2 7" xfId="213" xr:uid="{00000000-0005-0000-0000-0000FF030000}"/>
    <cellStyle name="Normal 2 7 2" xfId="214" xr:uid="{00000000-0005-0000-0000-000000040000}"/>
    <cellStyle name="Normal 2 7 2 2" xfId="215" xr:uid="{00000000-0005-0000-0000-000001040000}"/>
    <cellStyle name="Normal 2 7 2 2 2" xfId="216" xr:uid="{00000000-0005-0000-0000-000002040000}"/>
    <cellStyle name="Normal 2 7 2 2 2 2" xfId="1365" xr:uid="{00000000-0005-0000-0000-000003040000}"/>
    <cellStyle name="Normal 2 7 2 2 2 2 2" xfId="2108" xr:uid="{00000000-0005-0000-0000-000004040000}"/>
    <cellStyle name="Normal 2 7 2 2 2 3" xfId="2107" xr:uid="{00000000-0005-0000-0000-000005040000}"/>
    <cellStyle name="Normal 2 7 2 2 3" xfId="1364" xr:uid="{00000000-0005-0000-0000-000006040000}"/>
    <cellStyle name="Normal 2 7 2 2 3 2" xfId="2109" xr:uid="{00000000-0005-0000-0000-000007040000}"/>
    <cellStyle name="Normal 2 7 2 2 4" xfId="2106" xr:uid="{00000000-0005-0000-0000-000008040000}"/>
    <cellStyle name="Normal 2 7 2 3" xfId="217" xr:uid="{00000000-0005-0000-0000-000009040000}"/>
    <cellStyle name="Normal 2 7 2 3 2" xfId="1366" xr:uid="{00000000-0005-0000-0000-00000A040000}"/>
    <cellStyle name="Normal 2 7 2 3 2 2" xfId="2111" xr:uid="{00000000-0005-0000-0000-00000B040000}"/>
    <cellStyle name="Normal 2 7 2 3 3" xfId="2110" xr:uid="{00000000-0005-0000-0000-00000C040000}"/>
    <cellStyle name="Normal 2 7 2 4" xfId="1363" xr:uid="{00000000-0005-0000-0000-00000D040000}"/>
    <cellStyle name="Normal 2 7 2 4 2" xfId="2112" xr:uid="{00000000-0005-0000-0000-00000E040000}"/>
    <cellStyle name="Normal 2 7 2 5" xfId="2105" xr:uid="{00000000-0005-0000-0000-00000F040000}"/>
    <cellStyle name="Normal 2 7 3" xfId="218" xr:uid="{00000000-0005-0000-0000-000010040000}"/>
    <cellStyle name="Normal 2 7 3 2" xfId="219" xr:uid="{00000000-0005-0000-0000-000011040000}"/>
    <cellStyle name="Normal 2 7 3 2 2" xfId="1368" xr:uid="{00000000-0005-0000-0000-000012040000}"/>
    <cellStyle name="Normal 2 7 3 2 2 2" xfId="2115" xr:uid="{00000000-0005-0000-0000-000013040000}"/>
    <cellStyle name="Normal 2 7 3 2 3" xfId="2114" xr:uid="{00000000-0005-0000-0000-000014040000}"/>
    <cellStyle name="Normal 2 7 3 3" xfId="1367" xr:uid="{00000000-0005-0000-0000-000015040000}"/>
    <cellStyle name="Normal 2 7 3 3 2" xfId="2116" xr:uid="{00000000-0005-0000-0000-000016040000}"/>
    <cellStyle name="Normal 2 7 3 4" xfId="2113" xr:uid="{00000000-0005-0000-0000-000017040000}"/>
    <cellStyle name="Normal 2 7 4" xfId="220" xr:uid="{00000000-0005-0000-0000-000018040000}"/>
    <cellStyle name="Normal 2 7 4 2" xfId="1369" xr:uid="{00000000-0005-0000-0000-000019040000}"/>
    <cellStyle name="Normal 2 7 4 2 2" xfId="2118" xr:uid="{00000000-0005-0000-0000-00001A040000}"/>
    <cellStyle name="Normal 2 7 4 3" xfId="2117" xr:uid="{00000000-0005-0000-0000-00001B040000}"/>
    <cellStyle name="Normal 2 7 5" xfId="1362" xr:uid="{00000000-0005-0000-0000-00001C040000}"/>
    <cellStyle name="Normal 2 7 5 2" xfId="2119" xr:uid="{00000000-0005-0000-0000-00001D040000}"/>
    <cellStyle name="Normal 2 7 6" xfId="2104" xr:uid="{00000000-0005-0000-0000-00001E040000}"/>
    <cellStyle name="Normal 2 8" xfId="221" xr:uid="{00000000-0005-0000-0000-00001F040000}"/>
    <cellStyle name="Normal 2 8 2" xfId="222" xr:uid="{00000000-0005-0000-0000-000020040000}"/>
    <cellStyle name="Normal 2 8 2 2" xfId="223" xr:uid="{00000000-0005-0000-0000-000021040000}"/>
    <cellStyle name="Normal 2 8 2 2 2" xfId="1372" xr:uid="{00000000-0005-0000-0000-000022040000}"/>
    <cellStyle name="Normal 2 8 2 2 2 2" xfId="2123" xr:uid="{00000000-0005-0000-0000-000023040000}"/>
    <cellStyle name="Normal 2 8 2 2 3" xfId="2122" xr:uid="{00000000-0005-0000-0000-000024040000}"/>
    <cellStyle name="Normal 2 8 2 3" xfId="1371" xr:uid="{00000000-0005-0000-0000-000025040000}"/>
    <cellStyle name="Normal 2 8 2 3 2" xfId="2124" xr:uid="{00000000-0005-0000-0000-000026040000}"/>
    <cellStyle name="Normal 2 8 2 4" xfId="2121" xr:uid="{00000000-0005-0000-0000-000027040000}"/>
    <cellStyle name="Normal 2 8 3" xfId="224" xr:uid="{00000000-0005-0000-0000-000028040000}"/>
    <cellStyle name="Normal 2 8 3 2" xfId="1373" xr:uid="{00000000-0005-0000-0000-000029040000}"/>
    <cellStyle name="Normal 2 8 3 2 2" xfId="2126" xr:uid="{00000000-0005-0000-0000-00002A040000}"/>
    <cellStyle name="Normal 2 8 3 3" xfId="2125" xr:uid="{00000000-0005-0000-0000-00002B040000}"/>
    <cellStyle name="Normal 2 8 4" xfId="1370" xr:uid="{00000000-0005-0000-0000-00002C040000}"/>
    <cellStyle name="Normal 2 8 4 2" xfId="2127" xr:uid="{00000000-0005-0000-0000-00002D040000}"/>
    <cellStyle name="Normal 2 8 5" xfId="2120" xr:uid="{00000000-0005-0000-0000-00002E040000}"/>
    <cellStyle name="Normal 2 9" xfId="225" xr:uid="{00000000-0005-0000-0000-00002F040000}"/>
    <cellStyle name="Normal 2 9 2" xfId="226" xr:uid="{00000000-0005-0000-0000-000030040000}"/>
    <cellStyle name="Normal 2 9 2 2" xfId="1375" xr:uid="{00000000-0005-0000-0000-000031040000}"/>
    <cellStyle name="Normal 2 9 2 2 2" xfId="2130" xr:uid="{00000000-0005-0000-0000-000032040000}"/>
    <cellStyle name="Normal 2 9 2 3" xfId="2129" xr:uid="{00000000-0005-0000-0000-000033040000}"/>
    <cellStyle name="Normal 2 9 3" xfId="1374" xr:uid="{00000000-0005-0000-0000-000034040000}"/>
    <cellStyle name="Normal 2 9 3 2" xfId="2131" xr:uid="{00000000-0005-0000-0000-000035040000}"/>
    <cellStyle name="Normal 2 9 4" xfId="2128" xr:uid="{00000000-0005-0000-0000-000036040000}"/>
    <cellStyle name="Normal 2_CODESA" xfId="227" xr:uid="{00000000-0005-0000-0000-000037040000}"/>
    <cellStyle name="Normal 20" xfId="228" xr:uid="{00000000-0005-0000-0000-000038040000}"/>
    <cellStyle name="Normal 20 2" xfId="229" xr:uid="{00000000-0005-0000-0000-000039040000}"/>
    <cellStyle name="Normal 20 2 2" xfId="1377" xr:uid="{00000000-0005-0000-0000-00003A040000}"/>
    <cellStyle name="Normal 20 2 2 2" xfId="2134" xr:uid="{00000000-0005-0000-0000-00003B040000}"/>
    <cellStyle name="Normal 20 2 3" xfId="2133" xr:uid="{00000000-0005-0000-0000-00003C040000}"/>
    <cellStyle name="Normal 20 3" xfId="1376" xr:uid="{00000000-0005-0000-0000-00003D040000}"/>
    <cellStyle name="Normal 20 3 2" xfId="2135" xr:uid="{00000000-0005-0000-0000-00003E040000}"/>
    <cellStyle name="Normal 20 4" xfId="2132" xr:uid="{00000000-0005-0000-0000-00003F040000}"/>
    <cellStyle name="Normal 20 5" xfId="4" xr:uid="{00000000-0005-0000-0000-000040040000}"/>
    <cellStyle name="Normal 21" xfId="230" xr:uid="{00000000-0005-0000-0000-000041040000}"/>
    <cellStyle name="Normal 21 2" xfId="231" xr:uid="{00000000-0005-0000-0000-000042040000}"/>
    <cellStyle name="Normal 21 2 2" xfId="1379" xr:uid="{00000000-0005-0000-0000-000043040000}"/>
    <cellStyle name="Normal 21 2 2 2" xfId="2138" xr:uid="{00000000-0005-0000-0000-000044040000}"/>
    <cellStyle name="Normal 21 2 3" xfId="2137" xr:uid="{00000000-0005-0000-0000-000045040000}"/>
    <cellStyle name="Normal 21 3" xfId="718" xr:uid="{00000000-0005-0000-0000-000046040000}"/>
    <cellStyle name="Normal 21 3 2" xfId="1380" xr:uid="{00000000-0005-0000-0000-000047040000}"/>
    <cellStyle name="Normal 21 3 2 2" xfId="2140" xr:uid="{00000000-0005-0000-0000-000048040000}"/>
    <cellStyle name="Normal 21 3 3" xfId="2139" xr:uid="{00000000-0005-0000-0000-000049040000}"/>
    <cellStyle name="Normal 21 4" xfId="1378" xr:uid="{00000000-0005-0000-0000-00004A040000}"/>
    <cellStyle name="Normal 21 4 2" xfId="2141" xr:uid="{00000000-0005-0000-0000-00004B040000}"/>
    <cellStyle name="Normal 21 5" xfId="2136" xr:uid="{00000000-0005-0000-0000-00004C040000}"/>
    <cellStyle name="Normal 21 6" xfId="3136" xr:uid="{00000000-0005-0000-0000-00004D040000}"/>
    <cellStyle name="Normal 21 7" xfId="3141" xr:uid="{00000000-0005-0000-0000-00004E040000}"/>
    <cellStyle name="Normal 21 8" xfId="3143" xr:uid="{00000000-0005-0000-0000-00004F040000}"/>
    <cellStyle name="Normal 22" xfId="232" xr:uid="{00000000-0005-0000-0000-000050040000}"/>
    <cellStyle name="Normal 23" xfId="233" xr:uid="{00000000-0005-0000-0000-000051040000}"/>
    <cellStyle name="Normal 24" xfId="234" xr:uid="{00000000-0005-0000-0000-000052040000}"/>
    <cellStyle name="Normal 24 2" xfId="728" xr:uid="{00000000-0005-0000-0000-000053040000}"/>
    <cellStyle name="Normal 24 2 2" xfId="1382" xr:uid="{00000000-0005-0000-0000-000054040000}"/>
    <cellStyle name="Normal 24 2 2 2" xfId="2144" xr:uid="{00000000-0005-0000-0000-000055040000}"/>
    <cellStyle name="Normal 24 2 3" xfId="2143" xr:uid="{00000000-0005-0000-0000-000056040000}"/>
    <cellStyle name="Normal 24 3" xfId="1381" xr:uid="{00000000-0005-0000-0000-000057040000}"/>
    <cellStyle name="Normal 24 3 2" xfId="2145" xr:uid="{00000000-0005-0000-0000-000058040000}"/>
    <cellStyle name="Normal 24 4" xfId="2142" xr:uid="{00000000-0005-0000-0000-000059040000}"/>
    <cellStyle name="Normal 25" xfId="235" xr:uid="{00000000-0005-0000-0000-00005A040000}"/>
    <cellStyle name="Normal 25 2" xfId="1383" xr:uid="{00000000-0005-0000-0000-00005B040000}"/>
    <cellStyle name="Normal 25 2 2" xfId="2147" xr:uid="{00000000-0005-0000-0000-00005C040000}"/>
    <cellStyle name="Normal 25 3" xfId="2146" xr:uid="{00000000-0005-0000-0000-00005D040000}"/>
    <cellStyle name="Normal 26" xfId="236" xr:uid="{00000000-0005-0000-0000-00005E040000}"/>
    <cellStyle name="Normal 26 2" xfId="714" xr:uid="{00000000-0005-0000-0000-00005F040000}"/>
    <cellStyle name="Normal 26 2 2" xfId="1385" xr:uid="{00000000-0005-0000-0000-000060040000}"/>
    <cellStyle name="Normal 26 2 2 2" xfId="2150" xr:uid="{00000000-0005-0000-0000-000061040000}"/>
    <cellStyle name="Normal 26 2 3" xfId="2149" xr:uid="{00000000-0005-0000-0000-000062040000}"/>
    <cellStyle name="Normal 26 3" xfId="1384" xr:uid="{00000000-0005-0000-0000-000063040000}"/>
    <cellStyle name="Normal 26 3 2" xfId="2151" xr:uid="{00000000-0005-0000-0000-000064040000}"/>
    <cellStyle name="Normal 26 4" xfId="2148" xr:uid="{00000000-0005-0000-0000-000065040000}"/>
    <cellStyle name="Normal 27" xfId="732" xr:uid="{00000000-0005-0000-0000-000066040000}"/>
    <cellStyle name="Normal 27 2" xfId="1826" xr:uid="{00000000-0005-0000-0000-000067040000}"/>
    <cellStyle name="Normal 27 2 2" xfId="1833" xr:uid="{00000000-0005-0000-0000-000068040000}"/>
    <cellStyle name="Normal 27 2 2 2" xfId="2154" xr:uid="{00000000-0005-0000-0000-000069040000}"/>
    <cellStyle name="Normal 27 2 3" xfId="1842" xr:uid="{00000000-0005-0000-0000-00006A040000}"/>
    <cellStyle name="Normal 27 2 3 2" xfId="2155" xr:uid="{00000000-0005-0000-0000-00006B040000}"/>
    <cellStyle name="Normal 27 2 4" xfId="2153" xr:uid="{00000000-0005-0000-0000-00006C040000}"/>
    <cellStyle name="Normal 27 3" xfId="2152" xr:uid="{00000000-0005-0000-0000-00006D040000}"/>
    <cellStyle name="Normal 28" xfId="1250" xr:uid="{00000000-0005-0000-0000-00006E040000}"/>
    <cellStyle name="Normal 28 2" xfId="2156" xr:uid="{00000000-0005-0000-0000-00006F040000}"/>
    <cellStyle name="Normal 29" xfId="1825" xr:uid="{00000000-0005-0000-0000-000070040000}"/>
    <cellStyle name="Normal 29 2" xfId="2157" xr:uid="{00000000-0005-0000-0000-000071040000}"/>
    <cellStyle name="Normal 3" xfId="237" xr:uid="{00000000-0005-0000-0000-000072040000}"/>
    <cellStyle name="Normal 3 10" xfId="1119" xr:uid="{00000000-0005-0000-0000-000073040000}"/>
    <cellStyle name="Normal 3 10 2" xfId="2158" xr:uid="{00000000-0005-0000-0000-000074040000}"/>
    <cellStyle name="Normal 3 11" xfId="1120" xr:uid="{00000000-0005-0000-0000-000075040000}"/>
    <cellStyle name="Normal 3 11 2" xfId="2159" xr:uid="{00000000-0005-0000-0000-000076040000}"/>
    <cellStyle name="Normal 3 12" xfId="1121" xr:uid="{00000000-0005-0000-0000-000077040000}"/>
    <cellStyle name="Normal 3 12 2" xfId="2160" xr:uid="{00000000-0005-0000-0000-000078040000}"/>
    <cellStyle name="Normal 3 13" xfId="1122" xr:uid="{00000000-0005-0000-0000-000079040000}"/>
    <cellStyle name="Normal 3 13 2" xfId="2161" xr:uid="{00000000-0005-0000-0000-00007A040000}"/>
    <cellStyle name="Normal 3 14" xfId="1123" xr:uid="{00000000-0005-0000-0000-00007B040000}"/>
    <cellStyle name="Normal 3 14 2" xfId="2162" xr:uid="{00000000-0005-0000-0000-00007C040000}"/>
    <cellStyle name="Normal 3 2" xfId="238" xr:uid="{00000000-0005-0000-0000-00007D040000}"/>
    <cellStyle name="Normal 3 2 2" xfId="239" xr:uid="{00000000-0005-0000-0000-00007E040000}"/>
    <cellStyle name="Normal 3 2 2 2" xfId="240" xr:uid="{00000000-0005-0000-0000-00007F040000}"/>
    <cellStyle name="Normal 3 2 2 2 2" xfId="241" xr:uid="{00000000-0005-0000-0000-000080040000}"/>
    <cellStyle name="Normal 3 2 2 2 2 2" xfId="242" xr:uid="{00000000-0005-0000-0000-000081040000}"/>
    <cellStyle name="Normal 3 2 2 2 2 2 2" xfId="1390" xr:uid="{00000000-0005-0000-0000-000082040000}"/>
    <cellStyle name="Normal 3 2 2 2 2 2 2 2" xfId="2168" xr:uid="{00000000-0005-0000-0000-000083040000}"/>
    <cellStyle name="Normal 3 2 2 2 2 2 3" xfId="2167" xr:uid="{00000000-0005-0000-0000-000084040000}"/>
    <cellStyle name="Normal 3 2 2 2 2 3" xfId="1389" xr:uid="{00000000-0005-0000-0000-000085040000}"/>
    <cellStyle name="Normal 3 2 2 2 2 3 2" xfId="2169" xr:uid="{00000000-0005-0000-0000-000086040000}"/>
    <cellStyle name="Normal 3 2 2 2 2 4" xfId="2166" xr:uid="{00000000-0005-0000-0000-000087040000}"/>
    <cellStyle name="Normal 3 2 2 2 3" xfId="243" xr:uid="{00000000-0005-0000-0000-000088040000}"/>
    <cellStyle name="Normal 3 2 2 2 3 2" xfId="1391" xr:uid="{00000000-0005-0000-0000-000089040000}"/>
    <cellStyle name="Normal 3 2 2 2 3 2 2" xfId="2171" xr:uid="{00000000-0005-0000-0000-00008A040000}"/>
    <cellStyle name="Normal 3 2 2 2 3 3" xfId="2170" xr:uid="{00000000-0005-0000-0000-00008B040000}"/>
    <cellStyle name="Normal 3 2 2 2 4" xfId="1388" xr:uid="{00000000-0005-0000-0000-00008C040000}"/>
    <cellStyle name="Normal 3 2 2 2 4 2" xfId="2172" xr:uid="{00000000-0005-0000-0000-00008D040000}"/>
    <cellStyle name="Normal 3 2 2 2 5" xfId="2165" xr:uid="{00000000-0005-0000-0000-00008E040000}"/>
    <cellStyle name="Normal 3 2 2 3" xfId="244" xr:uid="{00000000-0005-0000-0000-00008F040000}"/>
    <cellStyle name="Normal 3 2 2 3 2" xfId="245" xr:uid="{00000000-0005-0000-0000-000090040000}"/>
    <cellStyle name="Normal 3 2 2 3 2 2" xfId="1393" xr:uid="{00000000-0005-0000-0000-000091040000}"/>
    <cellStyle name="Normal 3 2 2 3 2 2 2" xfId="2175" xr:uid="{00000000-0005-0000-0000-000092040000}"/>
    <cellStyle name="Normal 3 2 2 3 2 3" xfId="2174" xr:uid="{00000000-0005-0000-0000-000093040000}"/>
    <cellStyle name="Normal 3 2 2 3 3" xfId="1392" xr:uid="{00000000-0005-0000-0000-000094040000}"/>
    <cellStyle name="Normal 3 2 2 3 3 2" xfId="2176" xr:uid="{00000000-0005-0000-0000-000095040000}"/>
    <cellStyle name="Normal 3 2 2 3 4" xfId="2173" xr:uid="{00000000-0005-0000-0000-000096040000}"/>
    <cellStyle name="Normal 3 2 2 4" xfId="246" xr:uid="{00000000-0005-0000-0000-000097040000}"/>
    <cellStyle name="Normal 3 2 2 4 2" xfId="1394" xr:uid="{00000000-0005-0000-0000-000098040000}"/>
    <cellStyle name="Normal 3 2 2 4 2 2" xfId="2178" xr:uid="{00000000-0005-0000-0000-000099040000}"/>
    <cellStyle name="Normal 3 2 2 4 3" xfId="2177" xr:uid="{00000000-0005-0000-0000-00009A040000}"/>
    <cellStyle name="Normal 3 2 2 5" xfId="1387" xr:uid="{00000000-0005-0000-0000-00009B040000}"/>
    <cellStyle name="Normal 3 2 2 5 2" xfId="2179" xr:uid="{00000000-0005-0000-0000-00009C040000}"/>
    <cellStyle name="Normal 3 2 2 6" xfId="2164" xr:uid="{00000000-0005-0000-0000-00009D040000}"/>
    <cellStyle name="Normal 3 2 3" xfId="247" xr:uid="{00000000-0005-0000-0000-00009E040000}"/>
    <cellStyle name="Normal 3 2 3 2" xfId="248" xr:uid="{00000000-0005-0000-0000-00009F040000}"/>
    <cellStyle name="Normal 3 2 3 2 2" xfId="249" xr:uid="{00000000-0005-0000-0000-0000A0040000}"/>
    <cellStyle name="Normal 3 2 3 2 2 2" xfId="1397" xr:uid="{00000000-0005-0000-0000-0000A1040000}"/>
    <cellStyle name="Normal 3 2 3 2 2 2 2" xfId="2183" xr:uid="{00000000-0005-0000-0000-0000A2040000}"/>
    <cellStyle name="Normal 3 2 3 2 2 3" xfId="2182" xr:uid="{00000000-0005-0000-0000-0000A3040000}"/>
    <cellStyle name="Normal 3 2 3 2 3" xfId="1396" xr:uid="{00000000-0005-0000-0000-0000A4040000}"/>
    <cellStyle name="Normal 3 2 3 2 3 2" xfId="2184" xr:uid="{00000000-0005-0000-0000-0000A5040000}"/>
    <cellStyle name="Normal 3 2 3 2 4" xfId="2181" xr:uid="{00000000-0005-0000-0000-0000A6040000}"/>
    <cellStyle name="Normal 3 2 3 3" xfId="250" xr:uid="{00000000-0005-0000-0000-0000A7040000}"/>
    <cellStyle name="Normal 3 2 3 3 2" xfId="1398" xr:uid="{00000000-0005-0000-0000-0000A8040000}"/>
    <cellStyle name="Normal 3 2 3 3 2 2" xfId="2186" xr:uid="{00000000-0005-0000-0000-0000A9040000}"/>
    <cellStyle name="Normal 3 2 3 3 3" xfId="2185" xr:uid="{00000000-0005-0000-0000-0000AA040000}"/>
    <cellStyle name="Normal 3 2 3 4" xfId="1395" xr:uid="{00000000-0005-0000-0000-0000AB040000}"/>
    <cellStyle name="Normal 3 2 3 4 2" xfId="2187" xr:uid="{00000000-0005-0000-0000-0000AC040000}"/>
    <cellStyle name="Normal 3 2 3 5" xfId="2180" xr:uid="{00000000-0005-0000-0000-0000AD040000}"/>
    <cellStyle name="Normal 3 2 4" xfId="251" xr:uid="{00000000-0005-0000-0000-0000AE040000}"/>
    <cellStyle name="Normal 3 2 4 2" xfId="252" xr:uid="{00000000-0005-0000-0000-0000AF040000}"/>
    <cellStyle name="Normal 3 2 4 2 2" xfId="1400" xr:uid="{00000000-0005-0000-0000-0000B0040000}"/>
    <cellStyle name="Normal 3 2 4 2 2 2" xfId="2190" xr:uid="{00000000-0005-0000-0000-0000B1040000}"/>
    <cellStyle name="Normal 3 2 4 2 3" xfId="2189" xr:uid="{00000000-0005-0000-0000-0000B2040000}"/>
    <cellStyle name="Normal 3 2 4 3" xfId="1399" xr:uid="{00000000-0005-0000-0000-0000B3040000}"/>
    <cellStyle name="Normal 3 2 4 3 2" xfId="2191" xr:uid="{00000000-0005-0000-0000-0000B4040000}"/>
    <cellStyle name="Normal 3 2 4 4" xfId="2188" xr:uid="{00000000-0005-0000-0000-0000B5040000}"/>
    <cellStyle name="Normal 3 2 5" xfId="253" xr:uid="{00000000-0005-0000-0000-0000B6040000}"/>
    <cellStyle name="Normal 3 2 5 2" xfId="1401" xr:uid="{00000000-0005-0000-0000-0000B7040000}"/>
    <cellStyle name="Normal 3 2 5 2 2" xfId="2193" xr:uid="{00000000-0005-0000-0000-0000B8040000}"/>
    <cellStyle name="Normal 3 2 5 3" xfId="2192" xr:uid="{00000000-0005-0000-0000-0000B9040000}"/>
    <cellStyle name="Normal 3 2 6" xfId="1386" xr:uid="{00000000-0005-0000-0000-0000BA040000}"/>
    <cellStyle name="Normal 3 2 6 2" xfId="2194" xr:uid="{00000000-0005-0000-0000-0000BB040000}"/>
    <cellStyle name="Normal 3 2 7" xfId="2163" xr:uid="{00000000-0005-0000-0000-0000BC040000}"/>
    <cellStyle name="Normal 3 3" xfId="254" xr:uid="{00000000-0005-0000-0000-0000BD040000}"/>
    <cellStyle name="Normal 3 3 2" xfId="255" xr:uid="{00000000-0005-0000-0000-0000BE040000}"/>
    <cellStyle name="Normal 3 3 2 2" xfId="256" xr:uid="{00000000-0005-0000-0000-0000BF040000}"/>
    <cellStyle name="Normal 3 3 2 2 2" xfId="257" xr:uid="{00000000-0005-0000-0000-0000C0040000}"/>
    <cellStyle name="Normal 3 3 2 2 2 2" xfId="1405" xr:uid="{00000000-0005-0000-0000-0000C1040000}"/>
    <cellStyle name="Normal 3 3 2 2 2 2 2" xfId="2199" xr:uid="{00000000-0005-0000-0000-0000C2040000}"/>
    <cellStyle name="Normal 3 3 2 2 2 3" xfId="2198" xr:uid="{00000000-0005-0000-0000-0000C3040000}"/>
    <cellStyle name="Normal 3 3 2 2 3" xfId="1404" xr:uid="{00000000-0005-0000-0000-0000C4040000}"/>
    <cellStyle name="Normal 3 3 2 2 3 2" xfId="2200" xr:uid="{00000000-0005-0000-0000-0000C5040000}"/>
    <cellStyle name="Normal 3 3 2 2 4" xfId="2197" xr:uid="{00000000-0005-0000-0000-0000C6040000}"/>
    <cellStyle name="Normal 3 3 2 3" xfId="258" xr:uid="{00000000-0005-0000-0000-0000C7040000}"/>
    <cellStyle name="Normal 3 3 2 3 2" xfId="1406" xr:uid="{00000000-0005-0000-0000-0000C8040000}"/>
    <cellStyle name="Normal 3 3 2 3 2 2" xfId="2202" xr:uid="{00000000-0005-0000-0000-0000C9040000}"/>
    <cellStyle name="Normal 3 3 2 3 3" xfId="2201" xr:uid="{00000000-0005-0000-0000-0000CA040000}"/>
    <cellStyle name="Normal 3 3 2 4" xfId="1403" xr:uid="{00000000-0005-0000-0000-0000CB040000}"/>
    <cellStyle name="Normal 3 3 2 4 2" xfId="2203" xr:uid="{00000000-0005-0000-0000-0000CC040000}"/>
    <cellStyle name="Normal 3 3 2 5" xfId="2196" xr:uid="{00000000-0005-0000-0000-0000CD040000}"/>
    <cellStyle name="Normal 3 3 3" xfId="259" xr:uid="{00000000-0005-0000-0000-0000CE040000}"/>
    <cellStyle name="Normal 3 3 3 2" xfId="260" xr:uid="{00000000-0005-0000-0000-0000CF040000}"/>
    <cellStyle name="Normal 3 3 3 2 2" xfId="1408" xr:uid="{00000000-0005-0000-0000-0000D0040000}"/>
    <cellStyle name="Normal 3 3 3 2 2 2" xfId="2206" xr:uid="{00000000-0005-0000-0000-0000D1040000}"/>
    <cellStyle name="Normal 3 3 3 2 3" xfId="2205" xr:uid="{00000000-0005-0000-0000-0000D2040000}"/>
    <cellStyle name="Normal 3 3 3 3" xfId="1407" xr:uid="{00000000-0005-0000-0000-0000D3040000}"/>
    <cellStyle name="Normal 3 3 3 3 2" xfId="2207" xr:uid="{00000000-0005-0000-0000-0000D4040000}"/>
    <cellStyle name="Normal 3 3 3 4" xfId="2204" xr:uid="{00000000-0005-0000-0000-0000D5040000}"/>
    <cellStyle name="Normal 3 3 4" xfId="261" xr:uid="{00000000-0005-0000-0000-0000D6040000}"/>
    <cellStyle name="Normal 3 3 4 2" xfId="1409" xr:uid="{00000000-0005-0000-0000-0000D7040000}"/>
    <cellStyle name="Normal 3 3 4 2 2" xfId="2209" xr:uid="{00000000-0005-0000-0000-0000D8040000}"/>
    <cellStyle name="Normal 3 3 4 3" xfId="2208" xr:uid="{00000000-0005-0000-0000-0000D9040000}"/>
    <cellStyle name="Normal 3 3 5" xfId="1402" xr:uid="{00000000-0005-0000-0000-0000DA040000}"/>
    <cellStyle name="Normal 3 3 5 2" xfId="2210" xr:uid="{00000000-0005-0000-0000-0000DB040000}"/>
    <cellStyle name="Normal 3 3 6" xfId="2195" xr:uid="{00000000-0005-0000-0000-0000DC040000}"/>
    <cellStyle name="Normal 3 4" xfId="262" xr:uid="{00000000-0005-0000-0000-0000DD040000}"/>
    <cellStyle name="Normal 3 4 2" xfId="263" xr:uid="{00000000-0005-0000-0000-0000DE040000}"/>
    <cellStyle name="Normal 3 4 2 2" xfId="264" xr:uid="{00000000-0005-0000-0000-0000DF040000}"/>
    <cellStyle name="Normal 3 4 2 2 2" xfId="265" xr:uid="{00000000-0005-0000-0000-0000E0040000}"/>
    <cellStyle name="Normal 3 4 2 2 2 2" xfId="1413" xr:uid="{00000000-0005-0000-0000-0000E1040000}"/>
    <cellStyle name="Normal 3 4 2 2 2 2 2" xfId="2215" xr:uid="{00000000-0005-0000-0000-0000E2040000}"/>
    <cellStyle name="Normal 3 4 2 2 2 3" xfId="2214" xr:uid="{00000000-0005-0000-0000-0000E3040000}"/>
    <cellStyle name="Normal 3 4 2 2 3" xfId="1412" xr:uid="{00000000-0005-0000-0000-0000E4040000}"/>
    <cellStyle name="Normal 3 4 2 2 3 2" xfId="2216" xr:uid="{00000000-0005-0000-0000-0000E5040000}"/>
    <cellStyle name="Normal 3 4 2 2 4" xfId="2213" xr:uid="{00000000-0005-0000-0000-0000E6040000}"/>
    <cellStyle name="Normal 3 4 2 3" xfId="266" xr:uid="{00000000-0005-0000-0000-0000E7040000}"/>
    <cellStyle name="Normal 3 4 2 3 2" xfId="1414" xr:uid="{00000000-0005-0000-0000-0000E8040000}"/>
    <cellStyle name="Normal 3 4 2 3 2 2" xfId="2218" xr:uid="{00000000-0005-0000-0000-0000E9040000}"/>
    <cellStyle name="Normal 3 4 2 3 3" xfId="2217" xr:uid="{00000000-0005-0000-0000-0000EA040000}"/>
    <cellStyle name="Normal 3 4 2 4" xfId="1411" xr:uid="{00000000-0005-0000-0000-0000EB040000}"/>
    <cellStyle name="Normal 3 4 2 4 2" xfId="2219" xr:uid="{00000000-0005-0000-0000-0000EC040000}"/>
    <cellStyle name="Normal 3 4 2 5" xfId="2212" xr:uid="{00000000-0005-0000-0000-0000ED040000}"/>
    <cellStyle name="Normal 3 4 3" xfId="267" xr:uid="{00000000-0005-0000-0000-0000EE040000}"/>
    <cellStyle name="Normal 3 4 3 2" xfId="268" xr:uid="{00000000-0005-0000-0000-0000EF040000}"/>
    <cellStyle name="Normal 3 4 3 2 2" xfId="1416" xr:uid="{00000000-0005-0000-0000-0000F0040000}"/>
    <cellStyle name="Normal 3 4 3 2 2 2" xfId="2222" xr:uid="{00000000-0005-0000-0000-0000F1040000}"/>
    <cellStyle name="Normal 3 4 3 2 3" xfId="2221" xr:uid="{00000000-0005-0000-0000-0000F2040000}"/>
    <cellStyle name="Normal 3 4 3 3" xfId="1415" xr:uid="{00000000-0005-0000-0000-0000F3040000}"/>
    <cellStyle name="Normal 3 4 3 3 2" xfId="2223" xr:uid="{00000000-0005-0000-0000-0000F4040000}"/>
    <cellStyle name="Normal 3 4 3 4" xfId="2220" xr:uid="{00000000-0005-0000-0000-0000F5040000}"/>
    <cellStyle name="Normal 3 4 4" xfId="269" xr:uid="{00000000-0005-0000-0000-0000F6040000}"/>
    <cellStyle name="Normal 3 4 4 2" xfId="1417" xr:uid="{00000000-0005-0000-0000-0000F7040000}"/>
    <cellStyle name="Normal 3 4 4 2 2" xfId="2225" xr:uid="{00000000-0005-0000-0000-0000F8040000}"/>
    <cellStyle name="Normal 3 4 4 3" xfId="2224" xr:uid="{00000000-0005-0000-0000-0000F9040000}"/>
    <cellStyle name="Normal 3 4 5" xfId="1410" xr:uid="{00000000-0005-0000-0000-0000FA040000}"/>
    <cellStyle name="Normal 3 4 5 2" xfId="2226" xr:uid="{00000000-0005-0000-0000-0000FB040000}"/>
    <cellStyle name="Normal 3 4 6" xfId="2211" xr:uid="{00000000-0005-0000-0000-0000FC040000}"/>
    <cellStyle name="Normal 3 5" xfId="270" xr:uid="{00000000-0005-0000-0000-0000FD040000}"/>
    <cellStyle name="Normal 3 5 2" xfId="271" xr:uid="{00000000-0005-0000-0000-0000FE040000}"/>
    <cellStyle name="Normal 3 5 2 2" xfId="272" xr:uid="{00000000-0005-0000-0000-0000FF040000}"/>
    <cellStyle name="Normal 3 5 2 2 2" xfId="273" xr:uid="{00000000-0005-0000-0000-000000050000}"/>
    <cellStyle name="Normal 3 5 2 2 2 2" xfId="1421" xr:uid="{00000000-0005-0000-0000-000001050000}"/>
    <cellStyle name="Normal 3 5 2 2 2 2 2" xfId="2231" xr:uid="{00000000-0005-0000-0000-000002050000}"/>
    <cellStyle name="Normal 3 5 2 2 2 3" xfId="2230" xr:uid="{00000000-0005-0000-0000-000003050000}"/>
    <cellStyle name="Normal 3 5 2 2 3" xfId="1420" xr:uid="{00000000-0005-0000-0000-000004050000}"/>
    <cellStyle name="Normal 3 5 2 2 3 2" xfId="2232" xr:uid="{00000000-0005-0000-0000-000005050000}"/>
    <cellStyle name="Normal 3 5 2 2 4" xfId="2229" xr:uid="{00000000-0005-0000-0000-000006050000}"/>
    <cellStyle name="Normal 3 5 2 3" xfId="274" xr:uid="{00000000-0005-0000-0000-000007050000}"/>
    <cellStyle name="Normal 3 5 2 3 2" xfId="1422" xr:uid="{00000000-0005-0000-0000-000008050000}"/>
    <cellStyle name="Normal 3 5 2 3 2 2" xfId="2234" xr:uid="{00000000-0005-0000-0000-000009050000}"/>
    <cellStyle name="Normal 3 5 2 3 3" xfId="2233" xr:uid="{00000000-0005-0000-0000-00000A050000}"/>
    <cellStyle name="Normal 3 5 2 4" xfId="1419" xr:uid="{00000000-0005-0000-0000-00000B050000}"/>
    <cellStyle name="Normal 3 5 2 4 2" xfId="2235" xr:uid="{00000000-0005-0000-0000-00000C050000}"/>
    <cellStyle name="Normal 3 5 2 5" xfId="2228" xr:uid="{00000000-0005-0000-0000-00000D050000}"/>
    <cellStyle name="Normal 3 5 3" xfId="275" xr:uid="{00000000-0005-0000-0000-00000E050000}"/>
    <cellStyle name="Normal 3 5 3 2" xfId="276" xr:uid="{00000000-0005-0000-0000-00000F050000}"/>
    <cellStyle name="Normal 3 5 3 2 2" xfId="1424" xr:uid="{00000000-0005-0000-0000-000010050000}"/>
    <cellStyle name="Normal 3 5 3 2 2 2" xfId="2238" xr:uid="{00000000-0005-0000-0000-000011050000}"/>
    <cellStyle name="Normal 3 5 3 2 3" xfId="2237" xr:uid="{00000000-0005-0000-0000-000012050000}"/>
    <cellStyle name="Normal 3 5 3 3" xfId="1423" xr:uid="{00000000-0005-0000-0000-000013050000}"/>
    <cellStyle name="Normal 3 5 3 3 2" xfId="2239" xr:uid="{00000000-0005-0000-0000-000014050000}"/>
    <cellStyle name="Normal 3 5 3 4" xfId="2236" xr:uid="{00000000-0005-0000-0000-000015050000}"/>
    <cellStyle name="Normal 3 5 4" xfId="277" xr:uid="{00000000-0005-0000-0000-000016050000}"/>
    <cellStyle name="Normal 3 5 4 2" xfId="1425" xr:uid="{00000000-0005-0000-0000-000017050000}"/>
    <cellStyle name="Normal 3 5 4 2 2" xfId="2241" xr:uid="{00000000-0005-0000-0000-000018050000}"/>
    <cellStyle name="Normal 3 5 4 3" xfId="2240" xr:uid="{00000000-0005-0000-0000-000019050000}"/>
    <cellStyle name="Normal 3 5 5" xfId="1418" xr:uid="{00000000-0005-0000-0000-00001A050000}"/>
    <cellStyle name="Normal 3 5 5 2" xfId="2242" xr:uid="{00000000-0005-0000-0000-00001B050000}"/>
    <cellStyle name="Normal 3 5 6" xfId="2227" xr:uid="{00000000-0005-0000-0000-00001C050000}"/>
    <cellStyle name="Normal 3 6" xfId="278" xr:uid="{00000000-0005-0000-0000-00001D050000}"/>
    <cellStyle name="Normal 3 6 2" xfId="279" xr:uid="{00000000-0005-0000-0000-00001E050000}"/>
    <cellStyle name="Normal 3 6 2 2" xfId="280" xr:uid="{00000000-0005-0000-0000-00001F050000}"/>
    <cellStyle name="Normal 3 6 2 2 2" xfId="281" xr:uid="{00000000-0005-0000-0000-000020050000}"/>
    <cellStyle name="Normal 3 6 2 2 2 2" xfId="1429" xr:uid="{00000000-0005-0000-0000-000021050000}"/>
    <cellStyle name="Normal 3 6 2 2 2 2 2" xfId="2247" xr:uid="{00000000-0005-0000-0000-000022050000}"/>
    <cellStyle name="Normal 3 6 2 2 2 3" xfId="2246" xr:uid="{00000000-0005-0000-0000-000023050000}"/>
    <cellStyle name="Normal 3 6 2 2 3" xfId="1428" xr:uid="{00000000-0005-0000-0000-000024050000}"/>
    <cellStyle name="Normal 3 6 2 2 3 2" xfId="2248" xr:uid="{00000000-0005-0000-0000-000025050000}"/>
    <cellStyle name="Normal 3 6 2 2 4" xfId="2245" xr:uid="{00000000-0005-0000-0000-000026050000}"/>
    <cellStyle name="Normal 3 6 2 3" xfId="282" xr:uid="{00000000-0005-0000-0000-000027050000}"/>
    <cellStyle name="Normal 3 6 2 3 2" xfId="1430" xr:uid="{00000000-0005-0000-0000-000028050000}"/>
    <cellStyle name="Normal 3 6 2 3 2 2" xfId="2250" xr:uid="{00000000-0005-0000-0000-000029050000}"/>
    <cellStyle name="Normal 3 6 2 3 3" xfId="2249" xr:uid="{00000000-0005-0000-0000-00002A050000}"/>
    <cellStyle name="Normal 3 6 2 4" xfId="1427" xr:uid="{00000000-0005-0000-0000-00002B050000}"/>
    <cellStyle name="Normal 3 6 2 4 2" xfId="2251" xr:uid="{00000000-0005-0000-0000-00002C050000}"/>
    <cellStyle name="Normal 3 6 2 5" xfId="2244" xr:uid="{00000000-0005-0000-0000-00002D050000}"/>
    <cellStyle name="Normal 3 6 3" xfId="283" xr:uid="{00000000-0005-0000-0000-00002E050000}"/>
    <cellStyle name="Normal 3 6 3 2" xfId="284" xr:uid="{00000000-0005-0000-0000-00002F050000}"/>
    <cellStyle name="Normal 3 6 3 2 2" xfId="1432" xr:uid="{00000000-0005-0000-0000-000030050000}"/>
    <cellStyle name="Normal 3 6 3 2 2 2" xfId="2254" xr:uid="{00000000-0005-0000-0000-000031050000}"/>
    <cellStyle name="Normal 3 6 3 2 3" xfId="2253" xr:uid="{00000000-0005-0000-0000-000032050000}"/>
    <cellStyle name="Normal 3 6 3 3" xfId="1431" xr:uid="{00000000-0005-0000-0000-000033050000}"/>
    <cellStyle name="Normal 3 6 3 3 2" xfId="2255" xr:uid="{00000000-0005-0000-0000-000034050000}"/>
    <cellStyle name="Normal 3 6 3 4" xfId="2252" xr:uid="{00000000-0005-0000-0000-000035050000}"/>
    <cellStyle name="Normal 3 6 4" xfId="285" xr:uid="{00000000-0005-0000-0000-000036050000}"/>
    <cellStyle name="Normal 3 6 4 2" xfId="1433" xr:uid="{00000000-0005-0000-0000-000037050000}"/>
    <cellStyle name="Normal 3 6 4 2 2" xfId="2257" xr:uid="{00000000-0005-0000-0000-000038050000}"/>
    <cellStyle name="Normal 3 6 4 3" xfId="2256" xr:uid="{00000000-0005-0000-0000-000039050000}"/>
    <cellStyle name="Normal 3 6 5" xfId="1426" xr:uid="{00000000-0005-0000-0000-00003A050000}"/>
    <cellStyle name="Normal 3 6 5 2" xfId="2258" xr:uid="{00000000-0005-0000-0000-00003B050000}"/>
    <cellStyle name="Normal 3 6 6" xfId="2243" xr:uid="{00000000-0005-0000-0000-00003C050000}"/>
    <cellStyle name="Normal 3 7" xfId="1124" xr:uid="{00000000-0005-0000-0000-00003D050000}"/>
    <cellStyle name="Normal 3 7 2" xfId="2259" xr:uid="{00000000-0005-0000-0000-00003E050000}"/>
    <cellStyle name="Normal 3 8" xfId="1125" xr:uid="{00000000-0005-0000-0000-00003F050000}"/>
    <cellStyle name="Normal 3 8 2" xfId="2260" xr:uid="{00000000-0005-0000-0000-000040050000}"/>
    <cellStyle name="Normal 3 9" xfId="1126" xr:uid="{00000000-0005-0000-0000-000041050000}"/>
    <cellStyle name="Normal 3 9 2" xfId="2261" xr:uid="{00000000-0005-0000-0000-000042050000}"/>
    <cellStyle name="Normal 30" xfId="1829" xr:uid="{00000000-0005-0000-0000-000043050000}"/>
    <cellStyle name="Normal 30 2" xfId="2262" xr:uid="{00000000-0005-0000-0000-000044050000}"/>
    <cellStyle name="Normal 31" xfId="1830" xr:uid="{00000000-0005-0000-0000-000045050000}"/>
    <cellStyle name="Normal 31 2" xfId="2263" xr:uid="{00000000-0005-0000-0000-000046050000}"/>
    <cellStyle name="Normal 32" xfId="1836" xr:uid="{00000000-0005-0000-0000-000047050000}"/>
    <cellStyle name="Normal 32 2" xfId="2264" xr:uid="{00000000-0005-0000-0000-000048050000}"/>
    <cellStyle name="Normal 33" xfId="1837" xr:uid="{00000000-0005-0000-0000-000049050000}"/>
    <cellStyle name="Normal 33 2" xfId="2265" xr:uid="{00000000-0005-0000-0000-00004A050000}"/>
    <cellStyle name="Normal 34" xfId="1838" xr:uid="{00000000-0005-0000-0000-00004B050000}"/>
    <cellStyle name="Normal 34 2" xfId="2266" xr:uid="{00000000-0005-0000-0000-00004C050000}"/>
    <cellStyle name="Normal 35" xfId="1840" xr:uid="{00000000-0005-0000-0000-00004D050000}"/>
    <cellStyle name="Normal 35 2" xfId="2267" xr:uid="{00000000-0005-0000-0000-00004E050000}"/>
    <cellStyle name="Normal 36" xfId="1841" xr:uid="{00000000-0005-0000-0000-00004F050000}"/>
    <cellStyle name="Normal 36 2" xfId="2268" xr:uid="{00000000-0005-0000-0000-000050050000}"/>
    <cellStyle name="Normal 37" xfId="1845" xr:uid="{00000000-0005-0000-0000-000051050000}"/>
    <cellStyle name="Normal 37 2" xfId="2269" xr:uid="{00000000-0005-0000-0000-000052050000}"/>
    <cellStyle name="Normal 38" xfId="3137" xr:uid="{00000000-0005-0000-0000-000053050000}"/>
    <cellStyle name="Normal 39" xfId="3144" xr:uid="{00000000-0005-0000-0000-000054050000}"/>
    <cellStyle name="Normal 4" xfId="286" xr:uid="{00000000-0005-0000-0000-000055050000}"/>
    <cellStyle name="Normal 4 2" xfId="287" xr:uid="{00000000-0005-0000-0000-000056050000}"/>
    <cellStyle name="Normal 4 2 2" xfId="735" xr:uid="{00000000-0005-0000-0000-000057050000}"/>
    <cellStyle name="Normal 4 2 2 2" xfId="736" xr:uid="{00000000-0005-0000-0000-000058050000}"/>
    <cellStyle name="Normal 4 2 2 3" xfId="2270" xr:uid="{00000000-0005-0000-0000-000059050000}"/>
    <cellStyle name="Normal 4 3" xfId="288" xr:uid="{00000000-0005-0000-0000-00005A050000}"/>
    <cellStyle name="Normal 4 4" xfId="289" xr:uid="{00000000-0005-0000-0000-00005B050000}"/>
    <cellStyle name="Normal 40" xfId="3147" xr:uid="{00000000-0005-0000-0000-00005C050000}"/>
    <cellStyle name="Normal 40 2" xfId="3" xr:uid="{00000000-0005-0000-0000-00005D050000}"/>
    <cellStyle name="Normal 41" xfId="3149" xr:uid="{00000000-0005-0000-0000-00005E050000}"/>
    <cellStyle name="Normal 42" xfId="3155" xr:uid="{00000000-0005-0000-0000-00005F050000}"/>
    <cellStyle name="Normal 5" xfId="290" xr:uid="{00000000-0005-0000-0000-000060050000}"/>
    <cellStyle name="Normal 5 10" xfId="3151" xr:uid="{00000000-0005-0000-0000-000061050000}"/>
    <cellStyle name="Normal 5 2" xfId="291" xr:uid="{00000000-0005-0000-0000-000062050000}"/>
    <cellStyle name="Normal 5 3" xfId="292" xr:uid="{00000000-0005-0000-0000-000063050000}"/>
    <cellStyle name="Normal 5 4" xfId="293" xr:uid="{00000000-0005-0000-0000-000064050000}"/>
    <cellStyle name="Normal 5 5" xfId="294" xr:uid="{00000000-0005-0000-0000-000065050000}"/>
    <cellStyle name="Normal 5 5 2" xfId="295" xr:uid="{00000000-0005-0000-0000-000066050000}"/>
    <cellStyle name="Normal 5 5 2 2" xfId="296" xr:uid="{00000000-0005-0000-0000-000067050000}"/>
    <cellStyle name="Normal 5 5 2 2 2" xfId="1437" xr:uid="{00000000-0005-0000-0000-000068050000}"/>
    <cellStyle name="Normal 5 5 2 2 2 2" xfId="2275" xr:uid="{00000000-0005-0000-0000-000069050000}"/>
    <cellStyle name="Normal 5 5 2 2 3" xfId="2274" xr:uid="{00000000-0005-0000-0000-00006A050000}"/>
    <cellStyle name="Normal 5 5 2 3" xfId="1436" xr:uid="{00000000-0005-0000-0000-00006B050000}"/>
    <cellStyle name="Normal 5 5 2 3 2" xfId="2276" xr:uid="{00000000-0005-0000-0000-00006C050000}"/>
    <cellStyle name="Normal 5 5 2 4" xfId="2273" xr:uid="{00000000-0005-0000-0000-00006D050000}"/>
    <cellStyle name="Normal 5 5 3" xfId="297" xr:uid="{00000000-0005-0000-0000-00006E050000}"/>
    <cellStyle name="Normal 5 5 3 2" xfId="1438" xr:uid="{00000000-0005-0000-0000-00006F050000}"/>
    <cellStyle name="Normal 5 5 3 2 2" xfId="2278" xr:uid="{00000000-0005-0000-0000-000070050000}"/>
    <cellStyle name="Normal 5 5 3 3" xfId="2277" xr:uid="{00000000-0005-0000-0000-000071050000}"/>
    <cellStyle name="Normal 5 5 4" xfId="1435" xr:uid="{00000000-0005-0000-0000-000072050000}"/>
    <cellStyle name="Normal 5 5 4 2" xfId="2279" xr:uid="{00000000-0005-0000-0000-000073050000}"/>
    <cellStyle name="Normal 5 5 5" xfId="2272" xr:uid="{00000000-0005-0000-0000-000074050000}"/>
    <cellStyle name="Normal 5 6" xfId="298" xr:uid="{00000000-0005-0000-0000-000075050000}"/>
    <cellStyle name="Normal 5 6 2" xfId="299" xr:uid="{00000000-0005-0000-0000-000076050000}"/>
    <cellStyle name="Normal 5 6 2 2" xfId="1440" xr:uid="{00000000-0005-0000-0000-000077050000}"/>
    <cellStyle name="Normal 5 6 2 2 2" xfId="2282" xr:uid="{00000000-0005-0000-0000-000078050000}"/>
    <cellStyle name="Normal 5 6 2 3" xfId="2281" xr:uid="{00000000-0005-0000-0000-000079050000}"/>
    <cellStyle name="Normal 5 6 3" xfId="1439" xr:uid="{00000000-0005-0000-0000-00007A050000}"/>
    <cellStyle name="Normal 5 6 3 2" xfId="2283" xr:uid="{00000000-0005-0000-0000-00007B050000}"/>
    <cellStyle name="Normal 5 6 4" xfId="2280" xr:uid="{00000000-0005-0000-0000-00007C050000}"/>
    <cellStyle name="Normal 5 7" xfId="300" xr:uid="{00000000-0005-0000-0000-00007D050000}"/>
    <cellStyle name="Normal 5 7 2" xfId="1441" xr:uid="{00000000-0005-0000-0000-00007E050000}"/>
    <cellStyle name="Normal 5 7 2 2" xfId="2285" xr:uid="{00000000-0005-0000-0000-00007F050000}"/>
    <cellStyle name="Normal 5 7 3" xfId="2284" xr:uid="{00000000-0005-0000-0000-000080050000}"/>
    <cellStyle name="Normal 5 8" xfId="1434" xr:uid="{00000000-0005-0000-0000-000081050000}"/>
    <cellStyle name="Normal 5 8 2" xfId="2286" xr:uid="{00000000-0005-0000-0000-000082050000}"/>
    <cellStyle name="Normal 5 9" xfId="2271" xr:uid="{00000000-0005-0000-0000-000083050000}"/>
    <cellStyle name="Normal 5 9 2" xfId="3154" xr:uid="{00000000-0005-0000-0000-000084050000}"/>
    <cellStyle name="Normal 6" xfId="301" xr:uid="{00000000-0005-0000-0000-000085050000}"/>
    <cellStyle name="Normal 6 2" xfId="302" xr:uid="{00000000-0005-0000-0000-000086050000}"/>
    <cellStyle name="Normal 6 3" xfId="303" xr:uid="{00000000-0005-0000-0000-000087050000}"/>
    <cellStyle name="Normal 6 4" xfId="304" xr:uid="{00000000-0005-0000-0000-000088050000}"/>
    <cellStyle name="Normal 6 5" xfId="305" xr:uid="{00000000-0005-0000-0000-000089050000}"/>
    <cellStyle name="Normal 6 5 2" xfId="306" xr:uid="{00000000-0005-0000-0000-00008A050000}"/>
    <cellStyle name="Normal 6 5 2 2" xfId="307" xr:uid="{00000000-0005-0000-0000-00008B050000}"/>
    <cellStyle name="Normal 6 5 2 2 2" xfId="1445" xr:uid="{00000000-0005-0000-0000-00008C050000}"/>
    <cellStyle name="Normal 6 5 2 2 2 2" xfId="2291" xr:uid="{00000000-0005-0000-0000-00008D050000}"/>
    <cellStyle name="Normal 6 5 2 2 3" xfId="2290" xr:uid="{00000000-0005-0000-0000-00008E050000}"/>
    <cellStyle name="Normal 6 5 2 3" xfId="1444" xr:uid="{00000000-0005-0000-0000-00008F050000}"/>
    <cellStyle name="Normal 6 5 2 3 2" xfId="2292" xr:uid="{00000000-0005-0000-0000-000090050000}"/>
    <cellStyle name="Normal 6 5 2 4" xfId="2289" xr:uid="{00000000-0005-0000-0000-000091050000}"/>
    <cellStyle name="Normal 6 5 3" xfId="308" xr:uid="{00000000-0005-0000-0000-000092050000}"/>
    <cellStyle name="Normal 6 5 3 2" xfId="1446" xr:uid="{00000000-0005-0000-0000-000093050000}"/>
    <cellStyle name="Normal 6 5 3 2 2" xfId="2294" xr:uid="{00000000-0005-0000-0000-000094050000}"/>
    <cellStyle name="Normal 6 5 3 3" xfId="2293" xr:uid="{00000000-0005-0000-0000-000095050000}"/>
    <cellStyle name="Normal 6 5 4" xfId="1443" xr:uid="{00000000-0005-0000-0000-000096050000}"/>
    <cellStyle name="Normal 6 5 4 2" xfId="2295" xr:uid="{00000000-0005-0000-0000-000097050000}"/>
    <cellStyle name="Normal 6 5 5" xfId="2288" xr:uid="{00000000-0005-0000-0000-000098050000}"/>
    <cellStyle name="Normal 6 6" xfId="309" xr:uid="{00000000-0005-0000-0000-000099050000}"/>
    <cellStyle name="Normal 6 6 2" xfId="310" xr:uid="{00000000-0005-0000-0000-00009A050000}"/>
    <cellStyle name="Normal 6 6 2 2" xfId="1448" xr:uid="{00000000-0005-0000-0000-00009B050000}"/>
    <cellStyle name="Normal 6 6 2 2 2" xfId="2298" xr:uid="{00000000-0005-0000-0000-00009C050000}"/>
    <cellStyle name="Normal 6 6 2 3" xfId="2297" xr:uid="{00000000-0005-0000-0000-00009D050000}"/>
    <cellStyle name="Normal 6 6 3" xfId="1447" xr:uid="{00000000-0005-0000-0000-00009E050000}"/>
    <cellStyle name="Normal 6 6 3 2" xfId="2299" xr:uid="{00000000-0005-0000-0000-00009F050000}"/>
    <cellStyle name="Normal 6 6 4" xfId="2296" xr:uid="{00000000-0005-0000-0000-0000A0050000}"/>
    <cellStyle name="Normal 6 7" xfId="311" xr:uid="{00000000-0005-0000-0000-0000A1050000}"/>
    <cellStyle name="Normal 6 7 2" xfId="1449" xr:uid="{00000000-0005-0000-0000-0000A2050000}"/>
    <cellStyle name="Normal 6 7 2 2" xfId="2301" xr:uid="{00000000-0005-0000-0000-0000A3050000}"/>
    <cellStyle name="Normal 6 7 3" xfId="2300" xr:uid="{00000000-0005-0000-0000-0000A4050000}"/>
    <cellStyle name="Normal 6 8" xfId="1442" xr:uid="{00000000-0005-0000-0000-0000A5050000}"/>
    <cellStyle name="Normal 6 8 2" xfId="2302" xr:uid="{00000000-0005-0000-0000-0000A6050000}"/>
    <cellStyle name="Normal 6 9" xfId="2287" xr:uid="{00000000-0005-0000-0000-0000A7050000}"/>
    <cellStyle name="Normal 7" xfId="312" xr:uid="{00000000-0005-0000-0000-0000A8050000}"/>
    <cellStyle name="Normal 7 10" xfId="1127" xr:uid="{00000000-0005-0000-0000-0000A9050000}"/>
    <cellStyle name="Normal 7 11" xfId="1128" xr:uid="{00000000-0005-0000-0000-0000AA050000}"/>
    <cellStyle name="Normal 7 12" xfId="1129" xr:uid="{00000000-0005-0000-0000-0000AB050000}"/>
    <cellStyle name="Normal 7 13" xfId="1130" xr:uid="{00000000-0005-0000-0000-0000AC050000}"/>
    <cellStyle name="Normal 7 14" xfId="1131" xr:uid="{00000000-0005-0000-0000-0000AD050000}"/>
    <cellStyle name="Normal 7 15" xfId="1132" xr:uid="{00000000-0005-0000-0000-0000AE050000}"/>
    <cellStyle name="Normal 7 16" xfId="1133" xr:uid="{00000000-0005-0000-0000-0000AF050000}"/>
    <cellStyle name="Normal 7 17" xfId="1134" xr:uid="{00000000-0005-0000-0000-0000B0050000}"/>
    <cellStyle name="Normal 7 18" xfId="1135" xr:uid="{00000000-0005-0000-0000-0000B1050000}"/>
    <cellStyle name="Normal 7 19" xfId="1136" xr:uid="{00000000-0005-0000-0000-0000B2050000}"/>
    <cellStyle name="Normal 7 2" xfId="313" xr:uid="{00000000-0005-0000-0000-0000B3050000}"/>
    <cellStyle name="Normal 7 20" xfId="1137" xr:uid="{00000000-0005-0000-0000-0000B4050000}"/>
    <cellStyle name="Normal 7 21" xfId="1138" xr:uid="{00000000-0005-0000-0000-0000B5050000}"/>
    <cellStyle name="Normal 7 22" xfId="1139" xr:uid="{00000000-0005-0000-0000-0000B6050000}"/>
    <cellStyle name="Normal 7 23" xfId="1140" xr:uid="{00000000-0005-0000-0000-0000B7050000}"/>
    <cellStyle name="Normal 7 24" xfId="1141" xr:uid="{00000000-0005-0000-0000-0000B8050000}"/>
    <cellStyle name="Normal 7 25" xfId="1142" xr:uid="{00000000-0005-0000-0000-0000B9050000}"/>
    <cellStyle name="Normal 7 3" xfId="314" xr:uid="{00000000-0005-0000-0000-0000BA050000}"/>
    <cellStyle name="Normal 7 4" xfId="315" xr:uid="{00000000-0005-0000-0000-0000BB050000}"/>
    <cellStyle name="Normal 7 5" xfId="1143" xr:uid="{00000000-0005-0000-0000-0000BC050000}"/>
    <cellStyle name="Normal 7 6" xfId="1144" xr:uid="{00000000-0005-0000-0000-0000BD050000}"/>
    <cellStyle name="Normal 7 7" xfId="1145" xr:uid="{00000000-0005-0000-0000-0000BE050000}"/>
    <cellStyle name="Normal 7 8" xfId="1146" xr:uid="{00000000-0005-0000-0000-0000BF050000}"/>
    <cellStyle name="Normal 7 9" xfId="1147" xr:uid="{00000000-0005-0000-0000-0000C0050000}"/>
    <cellStyle name="Normal 8" xfId="316" xr:uid="{00000000-0005-0000-0000-0000C1050000}"/>
    <cellStyle name="Normal 8 10" xfId="1148" xr:uid="{00000000-0005-0000-0000-0000C2050000}"/>
    <cellStyle name="Normal 8 10 2" xfId="2304" xr:uid="{00000000-0005-0000-0000-0000C3050000}"/>
    <cellStyle name="Normal 8 11" xfId="1149" xr:uid="{00000000-0005-0000-0000-0000C4050000}"/>
    <cellStyle name="Normal 8 11 2" xfId="2305" xr:uid="{00000000-0005-0000-0000-0000C5050000}"/>
    <cellStyle name="Normal 8 12" xfId="1150" xr:uid="{00000000-0005-0000-0000-0000C6050000}"/>
    <cellStyle name="Normal 8 12 2" xfId="2306" xr:uid="{00000000-0005-0000-0000-0000C7050000}"/>
    <cellStyle name="Normal 8 13" xfId="1151" xr:uid="{00000000-0005-0000-0000-0000C8050000}"/>
    <cellStyle name="Normal 8 13 2" xfId="2307" xr:uid="{00000000-0005-0000-0000-0000C9050000}"/>
    <cellStyle name="Normal 8 14" xfId="1152" xr:uid="{00000000-0005-0000-0000-0000CA050000}"/>
    <cellStyle name="Normal 8 14 2" xfId="2308" xr:uid="{00000000-0005-0000-0000-0000CB050000}"/>
    <cellStyle name="Normal 8 15" xfId="1450" xr:uid="{00000000-0005-0000-0000-0000CC050000}"/>
    <cellStyle name="Normal 8 15 2" xfId="2309" xr:uid="{00000000-0005-0000-0000-0000CD050000}"/>
    <cellStyle name="Normal 8 16" xfId="2303" xr:uid="{00000000-0005-0000-0000-0000CE050000}"/>
    <cellStyle name="Normal 8 2" xfId="317" xr:uid="{00000000-0005-0000-0000-0000CF050000}"/>
    <cellStyle name="Normal 8 2 2" xfId="318" xr:uid="{00000000-0005-0000-0000-0000D0050000}"/>
    <cellStyle name="Normal 8 2 2 2" xfId="319" xr:uid="{00000000-0005-0000-0000-0000D1050000}"/>
    <cellStyle name="Normal 8 2 2 2 2" xfId="320" xr:uid="{00000000-0005-0000-0000-0000D2050000}"/>
    <cellStyle name="Normal 8 2 2 2 2 2" xfId="1454" xr:uid="{00000000-0005-0000-0000-0000D3050000}"/>
    <cellStyle name="Normal 8 2 2 2 2 2 2" xfId="2314" xr:uid="{00000000-0005-0000-0000-0000D4050000}"/>
    <cellStyle name="Normal 8 2 2 2 2 3" xfId="2313" xr:uid="{00000000-0005-0000-0000-0000D5050000}"/>
    <cellStyle name="Normal 8 2 2 2 3" xfId="1453" xr:uid="{00000000-0005-0000-0000-0000D6050000}"/>
    <cellStyle name="Normal 8 2 2 2 3 2" xfId="2315" xr:uid="{00000000-0005-0000-0000-0000D7050000}"/>
    <cellStyle name="Normal 8 2 2 2 4" xfId="2312" xr:uid="{00000000-0005-0000-0000-0000D8050000}"/>
    <cellStyle name="Normal 8 2 2 3" xfId="321" xr:uid="{00000000-0005-0000-0000-0000D9050000}"/>
    <cellStyle name="Normal 8 2 2 3 2" xfId="1455" xr:uid="{00000000-0005-0000-0000-0000DA050000}"/>
    <cellStyle name="Normal 8 2 2 3 2 2" xfId="2317" xr:uid="{00000000-0005-0000-0000-0000DB050000}"/>
    <cellStyle name="Normal 8 2 2 3 3" xfId="2316" xr:uid="{00000000-0005-0000-0000-0000DC050000}"/>
    <cellStyle name="Normal 8 2 2 4" xfId="1452" xr:uid="{00000000-0005-0000-0000-0000DD050000}"/>
    <cellStyle name="Normal 8 2 2 4 2" xfId="2318" xr:uid="{00000000-0005-0000-0000-0000DE050000}"/>
    <cellStyle name="Normal 8 2 2 5" xfId="2311" xr:uid="{00000000-0005-0000-0000-0000DF050000}"/>
    <cellStyle name="Normal 8 2 3" xfId="322" xr:uid="{00000000-0005-0000-0000-0000E0050000}"/>
    <cellStyle name="Normal 8 2 3 2" xfId="323" xr:uid="{00000000-0005-0000-0000-0000E1050000}"/>
    <cellStyle name="Normal 8 2 3 2 2" xfId="1457" xr:uid="{00000000-0005-0000-0000-0000E2050000}"/>
    <cellStyle name="Normal 8 2 3 2 2 2" xfId="2321" xr:uid="{00000000-0005-0000-0000-0000E3050000}"/>
    <cellStyle name="Normal 8 2 3 2 3" xfId="2320" xr:uid="{00000000-0005-0000-0000-0000E4050000}"/>
    <cellStyle name="Normal 8 2 3 3" xfId="1456" xr:uid="{00000000-0005-0000-0000-0000E5050000}"/>
    <cellStyle name="Normal 8 2 3 3 2" xfId="2322" xr:uid="{00000000-0005-0000-0000-0000E6050000}"/>
    <cellStyle name="Normal 8 2 3 4" xfId="2319" xr:uid="{00000000-0005-0000-0000-0000E7050000}"/>
    <cellStyle name="Normal 8 2 4" xfId="324" xr:uid="{00000000-0005-0000-0000-0000E8050000}"/>
    <cellStyle name="Normal 8 2 4 2" xfId="1458" xr:uid="{00000000-0005-0000-0000-0000E9050000}"/>
    <cellStyle name="Normal 8 2 4 2 2" xfId="2324" xr:uid="{00000000-0005-0000-0000-0000EA050000}"/>
    <cellStyle name="Normal 8 2 4 3" xfId="2323" xr:uid="{00000000-0005-0000-0000-0000EB050000}"/>
    <cellStyle name="Normal 8 2 5" xfId="722" xr:uid="{00000000-0005-0000-0000-0000EC050000}"/>
    <cellStyle name="Normal 8 2 5 2" xfId="1459" xr:uid="{00000000-0005-0000-0000-0000ED050000}"/>
    <cellStyle name="Normal 8 2 5 2 2" xfId="2326" xr:uid="{00000000-0005-0000-0000-0000EE050000}"/>
    <cellStyle name="Normal 8 2 5 3" xfId="2325" xr:uid="{00000000-0005-0000-0000-0000EF050000}"/>
    <cellStyle name="Normal 8 2 6" xfId="1451" xr:uid="{00000000-0005-0000-0000-0000F0050000}"/>
    <cellStyle name="Normal 8 2 6 2" xfId="2327" xr:uid="{00000000-0005-0000-0000-0000F1050000}"/>
    <cellStyle name="Normal 8 2 7" xfId="2310" xr:uid="{00000000-0005-0000-0000-0000F2050000}"/>
    <cellStyle name="Normal 8 3" xfId="325" xr:uid="{00000000-0005-0000-0000-0000F3050000}"/>
    <cellStyle name="Normal 8 3 2" xfId="326" xr:uid="{00000000-0005-0000-0000-0000F4050000}"/>
    <cellStyle name="Normal 8 3 2 2" xfId="327" xr:uid="{00000000-0005-0000-0000-0000F5050000}"/>
    <cellStyle name="Normal 8 3 2 2 2" xfId="1462" xr:uid="{00000000-0005-0000-0000-0000F6050000}"/>
    <cellStyle name="Normal 8 3 2 2 2 2" xfId="2331" xr:uid="{00000000-0005-0000-0000-0000F7050000}"/>
    <cellStyle name="Normal 8 3 2 2 3" xfId="2330" xr:uid="{00000000-0005-0000-0000-0000F8050000}"/>
    <cellStyle name="Normal 8 3 2 3" xfId="1461" xr:uid="{00000000-0005-0000-0000-0000F9050000}"/>
    <cellStyle name="Normal 8 3 2 3 2" xfId="2332" xr:uid="{00000000-0005-0000-0000-0000FA050000}"/>
    <cellStyle name="Normal 8 3 2 4" xfId="2329" xr:uid="{00000000-0005-0000-0000-0000FB050000}"/>
    <cellStyle name="Normal 8 3 3" xfId="328" xr:uid="{00000000-0005-0000-0000-0000FC050000}"/>
    <cellStyle name="Normal 8 3 3 2" xfId="1463" xr:uid="{00000000-0005-0000-0000-0000FD050000}"/>
    <cellStyle name="Normal 8 3 3 2 2" xfId="2334" xr:uid="{00000000-0005-0000-0000-0000FE050000}"/>
    <cellStyle name="Normal 8 3 3 3" xfId="2333" xr:uid="{00000000-0005-0000-0000-0000FF050000}"/>
    <cellStyle name="Normal 8 3 4" xfId="1460" xr:uid="{00000000-0005-0000-0000-000000060000}"/>
    <cellStyle name="Normal 8 3 4 2" xfId="2335" xr:uid="{00000000-0005-0000-0000-000001060000}"/>
    <cellStyle name="Normal 8 3 5" xfId="2328" xr:uid="{00000000-0005-0000-0000-000002060000}"/>
    <cellStyle name="Normal 8 4" xfId="329" xr:uid="{00000000-0005-0000-0000-000003060000}"/>
    <cellStyle name="Normal 8 4 2" xfId="330" xr:uid="{00000000-0005-0000-0000-000004060000}"/>
    <cellStyle name="Normal 8 4 2 2" xfId="1465" xr:uid="{00000000-0005-0000-0000-000005060000}"/>
    <cellStyle name="Normal 8 4 2 2 2" xfId="2338" xr:uid="{00000000-0005-0000-0000-000006060000}"/>
    <cellStyle name="Normal 8 4 2 3" xfId="2337" xr:uid="{00000000-0005-0000-0000-000007060000}"/>
    <cellStyle name="Normal 8 4 3" xfId="1464" xr:uid="{00000000-0005-0000-0000-000008060000}"/>
    <cellStyle name="Normal 8 4 3 2" xfId="2339" xr:uid="{00000000-0005-0000-0000-000009060000}"/>
    <cellStyle name="Normal 8 4 4" xfId="2336" xr:uid="{00000000-0005-0000-0000-00000A060000}"/>
    <cellStyle name="Normal 8 5" xfId="331" xr:uid="{00000000-0005-0000-0000-00000B060000}"/>
    <cellStyle name="Normal 8 5 2" xfId="1466" xr:uid="{00000000-0005-0000-0000-00000C060000}"/>
    <cellStyle name="Normal 8 5 2 2" xfId="2341" xr:uid="{00000000-0005-0000-0000-00000D060000}"/>
    <cellStyle name="Normal 8 5 3" xfId="2340" xr:uid="{00000000-0005-0000-0000-00000E060000}"/>
    <cellStyle name="Normal 8 6" xfId="1153" xr:uid="{00000000-0005-0000-0000-00000F060000}"/>
    <cellStyle name="Normal 8 6 2" xfId="2342" xr:uid="{00000000-0005-0000-0000-000010060000}"/>
    <cellStyle name="Normal 8 7" xfId="1154" xr:uid="{00000000-0005-0000-0000-000011060000}"/>
    <cellStyle name="Normal 8 7 2" xfId="2343" xr:uid="{00000000-0005-0000-0000-000012060000}"/>
    <cellStyle name="Normal 8 8" xfId="1155" xr:uid="{00000000-0005-0000-0000-000013060000}"/>
    <cellStyle name="Normal 8 8 2" xfId="2344" xr:uid="{00000000-0005-0000-0000-000014060000}"/>
    <cellStyle name="Normal 8 9" xfId="1156" xr:uid="{00000000-0005-0000-0000-000015060000}"/>
    <cellStyle name="Normal 8 9 2" xfId="2345" xr:uid="{00000000-0005-0000-0000-000016060000}"/>
    <cellStyle name="Normal 9" xfId="332" xr:uid="{00000000-0005-0000-0000-000017060000}"/>
    <cellStyle name="Output 2" xfId="333" xr:uid="{00000000-0005-0000-0000-000018060000}"/>
    <cellStyle name="Percent" xfId="2" builtinId="5"/>
    <cellStyle name="Percent 10" xfId="734" xr:uid="{00000000-0005-0000-0000-000019060000}"/>
    <cellStyle name="Percent 10 2" xfId="1828" xr:uid="{00000000-0005-0000-0000-00001A060000}"/>
    <cellStyle name="Percent 10 2 2" xfId="1835" xr:uid="{00000000-0005-0000-0000-00001B060000}"/>
    <cellStyle name="Percent 10 2 2 2" xfId="2348" xr:uid="{00000000-0005-0000-0000-00001C060000}"/>
    <cellStyle name="Percent 10 2 3" xfId="1844" xr:uid="{00000000-0005-0000-0000-00001D060000}"/>
    <cellStyle name="Percent 10 2 3 2" xfId="2349" xr:uid="{00000000-0005-0000-0000-00001E060000}"/>
    <cellStyle name="Percent 10 2 4" xfId="2347" xr:uid="{00000000-0005-0000-0000-00001F060000}"/>
    <cellStyle name="Percent 10 3" xfId="2346" xr:uid="{00000000-0005-0000-0000-000020060000}"/>
    <cellStyle name="Percent 11" xfId="1832" xr:uid="{00000000-0005-0000-0000-000021060000}"/>
    <cellStyle name="Percent 11 2" xfId="2350" xr:uid="{00000000-0005-0000-0000-000022060000}"/>
    <cellStyle name="Percent 12" xfId="1846" xr:uid="{00000000-0005-0000-0000-000023060000}"/>
    <cellStyle name="Percent 12 2" xfId="2351" xr:uid="{00000000-0005-0000-0000-000024060000}"/>
    <cellStyle name="Percent 13" xfId="3145" xr:uid="{00000000-0005-0000-0000-000025060000}"/>
    <cellStyle name="Percent 14" xfId="3152" xr:uid="{00000000-0005-0000-0000-000026060000}"/>
    <cellStyle name="Percent 2" xfId="334" xr:uid="{00000000-0005-0000-0000-000027060000}"/>
    <cellStyle name="Percent 2 2" xfId="335" xr:uid="{00000000-0005-0000-0000-000028060000}"/>
    <cellStyle name="Percent 2 2 2" xfId="336" xr:uid="{00000000-0005-0000-0000-000029060000}"/>
    <cellStyle name="Percent 2 2 2 2" xfId="8" xr:uid="{00000000-0005-0000-0000-00002A060000}"/>
    <cellStyle name="Percent 2 2 2 2 2" xfId="337" xr:uid="{00000000-0005-0000-0000-00002B060000}"/>
    <cellStyle name="Percent 2 2 2 2 2 2" xfId="1471" xr:uid="{00000000-0005-0000-0000-00002C060000}"/>
    <cellStyle name="Percent 2 2 2 2 2 2 2" xfId="2357" xr:uid="{00000000-0005-0000-0000-00002D060000}"/>
    <cellStyle name="Percent 2 2 2 2 2 3" xfId="2356" xr:uid="{00000000-0005-0000-0000-00002E060000}"/>
    <cellStyle name="Percent 2 2 2 2 3" xfId="716" xr:uid="{00000000-0005-0000-0000-00002F060000}"/>
    <cellStyle name="Percent 2 2 2 2 3 2" xfId="1472" xr:uid="{00000000-0005-0000-0000-000030060000}"/>
    <cellStyle name="Percent 2 2 2 2 3 2 2" xfId="2359" xr:uid="{00000000-0005-0000-0000-000031060000}"/>
    <cellStyle name="Percent 2 2 2 2 3 3" xfId="2358" xr:uid="{00000000-0005-0000-0000-000032060000}"/>
    <cellStyle name="Percent 2 2 2 2 4" xfId="1470" xr:uid="{00000000-0005-0000-0000-000033060000}"/>
    <cellStyle name="Percent 2 2 2 2 4 2" xfId="2360" xr:uid="{00000000-0005-0000-0000-000034060000}"/>
    <cellStyle name="Percent 2 2 2 2 5" xfId="2355" xr:uid="{00000000-0005-0000-0000-000035060000}"/>
    <cellStyle name="Percent 2 2 2 3" xfId="338" xr:uid="{00000000-0005-0000-0000-000036060000}"/>
    <cellStyle name="Percent 2 2 2 3 2" xfId="1473" xr:uid="{00000000-0005-0000-0000-000037060000}"/>
    <cellStyle name="Percent 2 2 2 3 2 2" xfId="2362" xr:uid="{00000000-0005-0000-0000-000038060000}"/>
    <cellStyle name="Percent 2 2 2 3 3" xfId="2361" xr:uid="{00000000-0005-0000-0000-000039060000}"/>
    <cellStyle name="Percent 2 2 2 4" xfId="1469" xr:uid="{00000000-0005-0000-0000-00003A060000}"/>
    <cellStyle name="Percent 2 2 2 4 2" xfId="2363" xr:uid="{00000000-0005-0000-0000-00003B060000}"/>
    <cellStyle name="Percent 2 2 2 5" xfId="2354" xr:uid="{00000000-0005-0000-0000-00003C060000}"/>
    <cellStyle name="Percent 2 2 3" xfId="339" xr:uid="{00000000-0005-0000-0000-00003D060000}"/>
    <cellStyle name="Percent 2 2 3 2" xfId="1474" xr:uid="{00000000-0005-0000-0000-00003E060000}"/>
    <cellStyle name="Percent 2 2 3 2 2" xfId="2365" xr:uid="{00000000-0005-0000-0000-00003F060000}"/>
    <cellStyle name="Percent 2 2 3 3" xfId="2364" xr:uid="{00000000-0005-0000-0000-000040060000}"/>
    <cellStyle name="Percent 2 2 4" xfId="1468" xr:uid="{00000000-0005-0000-0000-000041060000}"/>
    <cellStyle name="Percent 2 2 4 2" xfId="2366" xr:uid="{00000000-0005-0000-0000-000042060000}"/>
    <cellStyle name="Percent 2 2 5" xfId="2353" xr:uid="{00000000-0005-0000-0000-000043060000}"/>
    <cellStyle name="Percent 2 3" xfId="340" xr:uid="{00000000-0005-0000-0000-000044060000}"/>
    <cellStyle name="Percent 2 3 2" xfId="341" xr:uid="{00000000-0005-0000-0000-000045060000}"/>
    <cellStyle name="Percent 2 3 2 2" xfId="1476" xr:uid="{00000000-0005-0000-0000-000046060000}"/>
    <cellStyle name="Percent 2 3 2 2 2" xfId="2369" xr:uid="{00000000-0005-0000-0000-000047060000}"/>
    <cellStyle name="Percent 2 3 2 3" xfId="2368" xr:uid="{00000000-0005-0000-0000-000048060000}"/>
    <cellStyle name="Percent 2 3 3" xfId="1475" xr:uid="{00000000-0005-0000-0000-000049060000}"/>
    <cellStyle name="Percent 2 3 3 2" xfId="2370" xr:uid="{00000000-0005-0000-0000-00004A060000}"/>
    <cellStyle name="Percent 2 3 4" xfId="2367" xr:uid="{00000000-0005-0000-0000-00004B060000}"/>
    <cellStyle name="Percent 2 4" xfId="342" xr:uid="{00000000-0005-0000-0000-00004C060000}"/>
    <cellStyle name="Percent 2 4 2" xfId="1477" xr:uid="{00000000-0005-0000-0000-00004D060000}"/>
    <cellStyle name="Percent 2 4 2 2" xfId="2372" xr:uid="{00000000-0005-0000-0000-00004E060000}"/>
    <cellStyle name="Percent 2 4 3" xfId="2371" xr:uid="{00000000-0005-0000-0000-00004F060000}"/>
    <cellStyle name="Percent 2 5" xfId="1467" xr:uid="{00000000-0005-0000-0000-000050060000}"/>
    <cellStyle name="Percent 2 5 2" xfId="2373" xr:uid="{00000000-0005-0000-0000-000051060000}"/>
    <cellStyle name="Percent 2 6" xfId="2352" xr:uid="{00000000-0005-0000-0000-000052060000}"/>
    <cellStyle name="Percent 3" xfId="343" xr:uid="{00000000-0005-0000-0000-000053060000}"/>
    <cellStyle name="Percent 3 10" xfId="1157" xr:uid="{00000000-0005-0000-0000-000054060000}"/>
    <cellStyle name="Percent 3 11" xfId="1158" xr:uid="{00000000-0005-0000-0000-000055060000}"/>
    <cellStyle name="Percent 3 12" xfId="1159" xr:uid="{00000000-0005-0000-0000-000056060000}"/>
    <cellStyle name="Percent 3 13" xfId="1160" xr:uid="{00000000-0005-0000-0000-000057060000}"/>
    <cellStyle name="Percent 3 14" xfId="1161" xr:uid="{00000000-0005-0000-0000-000058060000}"/>
    <cellStyle name="Percent 3 15" xfId="1478" xr:uid="{00000000-0005-0000-0000-000059060000}"/>
    <cellStyle name="Percent 3 15 2" xfId="2375" xr:uid="{00000000-0005-0000-0000-00005A060000}"/>
    <cellStyle name="Percent 3 16" xfId="2374" xr:uid="{00000000-0005-0000-0000-00005B060000}"/>
    <cellStyle name="Percent 3 2" xfId="344" xr:uid="{00000000-0005-0000-0000-00005C060000}"/>
    <cellStyle name="Percent 3 2 2" xfId="345" xr:uid="{00000000-0005-0000-0000-00005D060000}"/>
    <cellStyle name="Percent 3 2 2 2" xfId="346" xr:uid="{00000000-0005-0000-0000-00005E060000}"/>
    <cellStyle name="Percent 3 2 2 2 2" xfId="347" xr:uid="{00000000-0005-0000-0000-00005F060000}"/>
    <cellStyle name="Percent 3 2 2 2 2 2" xfId="1482" xr:uid="{00000000-0005-0000-0000-000060060000}"/>
    <cellStyle name="Percent 3 2 2 2 2 2 2" xfId="2380" xr:uid="{00000000-0005-0000-0000-000061060000}"/>
    <cellStyle name="Percent 3 2 2 2 2 3" xfId="2379" xr:uid="{00000000-0005-0000-0000-000062060000}"/>
    <cellStyle name="Percent 3 2 2 2 3" xfId="1481" xr:uid="{00000000-0005-0000-0000-000063060000}"/>
    <cellStyle name="Percent 3 2 2 2 3 2" xfId="2381" xr:uid="{00000000-0005-0000-0000-000064060000}"/>
    <cellStyle name="Percent 3 2 2 2 4" xfId="2378" xr:uid="{00000000-0005-0000-0000-000065060000}"/>
    <cellStyle name="Percent 3 2 2 3" xfId="348" xr:uid="{00000000-0005-0000-0000-000066060000}"/>
    <cellStyle name="Percent 3 2 2 3 2" xfId="1483" xr:uid="{00000000-0005-0000-0000-000067060000}"/>
    <cellStyle name="Percent 3 2 2 3 2 2" xfId="2383" xr:uid="{00000000-0005-0000-0000-000068060000}"/>
    <cellStyle name="Percent 3 2 2 3 3" xfId="2382" xr:uid="{00000000-0005-0000-0000-000069060000}"/>
    <cellStyle name="Percent 3 2 2 4" xfId="1480" xr:uid="{00000000-0005-0000-0000-00006A060000}"/>
    <cellStyle name="Percent 3 2 2 4 2" xfId="2384" xr:uid="{00000000-0005-0000-0000-00006B060000}"/>
    <cellStyle name="Percent 3 2 2 5" xfId="2377" xr:uid="{00000000-0005-0000-0000-00006C060000}"/>
    <cellStyle name="Percent 3 2 3" xfId="349" xr:uid="{00000000-0005-0000-0000-00006D060000}"/>
    <cellStyle name="Percent 3 2 3 2" xfId="350" xr:uid="{00000000-0005-0000-0000-00006E060000}"/>
    <cellStyle name="Percent 3 2 3 2 2" xfId="1485" xr:uid="{00000000-0005-0000-0000-00006F060000}"/>
    <cellStyle name="Percent 3 2 3 2 2 2" xfId="2387" xr:uid="{00000000-0005-0000-0000-000070060000}"/>
    <cellStyle name="Percent 3 2 3 2 3" xfId="2386" xr:uid="{00000000-0005-0000-0000-000071060000}"/>
    <cellStyle name="Percent 3 2 3 3" xfId="1484" xr:uid="{00000000-0005-0000-0000-000072060000}"/>
    <cellStyle name="Percent 3 2 3 3 2" xfId="2388" xr:uid="{00000000-0005-0000-0000-000073060000}"/>
    <cellStyle name="Percent 3 2 3 4" xfId="2385" xr:uid="{00000000-0005-0000-0000-000074060000}"/>
    <cellStyle name="Percent 3 2 4" xfId="351" xr:uid="{00000000-0005-0000-0000-000075060000}"/>
    <cellStyle name="Percent 3 2 4 2" xfId="1486" xr:uid="{00000000-0005-0000-0000-000076060000}"/>
    <cellStyle name="Percent 3 2 4 2 2" xfId="2390" xr:uid="{00000000-0005-0000-0000-000077060000}"/>
    <cellStyle name="Percent 3 2 4 3" xfId="2389" xr:uid="{00000000-0005-0000-0000-000078060000}"/>
    <cellStyle name="Percent 3 2 5" xfId="726" xr:uid="{00000000-0005-0000-0000-000079060000}"/>
    <cellStyle name="Percent 3 2 5 2" xfId="1487" xr:uid="{00000000-0005-0000-0000-00007A060000}"/>
    <cellStyle name="Percent 3 2 5 2 2" xfId="2392" xr:uid="{00000000-0005-0000-0000-00007B060000}"/>
    <cellStyle name="Percent 3 2 5 3" xfId="2391" xr:uid="{00000000-0005-0000-0000-00007C060000}"/>
    <cellStyle name="Percent 3 2 6" xfId="1479" xr:uid="{00000000-0005-0000-0000-00007D060000}"/>
    <cellStyle name="Percent 3 2 6 2" xfId="2393" xr:uid="{00000000-0005-0000-0000-00007E060000}"/>
    <cellStyle name="Percent 3 2 7" xfId="2376" xr:uid="{00000000-0005-0000-0000-00007F060000}"/>
    <cellStyle name="Percent 3 3" xfId="352" xr:uid="{00000000-0005-0000-0000-000080060000}"/>
    <cellStyle name="Percent 3 4" xfId="353" xr:uid="{00000000-0005-0000-0000-000081060000}"/>
    <cellStyle name="Percent 3 4 2" xfId="354" xr:uid="{00000000-0005-0000-0000-000082060000}"/>
    <cellStyle name="Percent 3 4 2 2" xfId="355" xr:uid="{00000000-0005-0000-0000-000083060000}"/>
    <cellStyle name="Percent 3 4 2 2 2" xfId="1490" xr:uid="{00000000-0005-0000-0000-000084060000}"/>
    <cellStyle name="Percent 3 4 2 2 2 2" xfId="2397" xr:uid="{00000000-0005-0000-0000-000085060000}"/>
    <cellStyle name="Percent 3 4 2 2 3" xfId="2396" xr:uid="{00000000-0005-0000-0000-000086060000}"/>
    <cellStyle name="Percent 3 4 2 3" xfId="1489" xr:uid="{00000000-0005-0000-0000-000087060000}"/>
    <cellStyle name="Percent 3 4 2 3 2" xfId="2398" xr:uid="{00000000-0005-0000-0000-000088060000}"/>
    <cellStyle name="Percent 3 4 2 4" xfId="2395" xr:uid="{00000000-0005-0000-0000-000089060000}"/>
    <cellStyle name="Percent 3 4 3" xfId="356" xr:uid="{00000000-0005-0000-0000-00008A060000}"/>
    <cellStyle name="Percent 3 4 3 2" xfId="1491" xr:uid="{00000000-0005-0000-0000-00008B060000}"/>
    <cellStyle name="Percent 3 4 3 2 2" xfId="2400" xr:uid="{00000000-0005-0000-0000-00008C060000}"/>
    <cellStyle name="Percent 3 4 3 3" xfId="2399" xr:uid="{00000000-0005-0000-0000-00008D060000}"/>
    <cellStyle name="Percent 3 4 4" xfId="1488" xr:uid="{00000000-0005-0000-0000-00008E060000}"/>
    <cellStyle name="Percent 3 4 4 2" xfId="2401" xr:uid="{00000000-0005-0000-0000-00008F060000}"/>
    <cellStyle name="Percent 3 4 5" xfId="2394" xr:uid="{00000000-0005-0000-0000-000090060000}"/>
    <cellStyle name="Percent 3 5" xfId="357" xr:uid="{00000000-0005-0000-0000-000091060000}"/>
    <cellStyle name="Percent 3 5 2" xfId="358" xr:uid="{00000000-0005-0000-0000-000092060000}"/>
    <cellStyle name="Percent 3 5 2 2" xfId="1493" xr:uid="{00000000-0005-0000-0000-000093060000}"/>
    <cellStyle name="Percent 3 5 2 2 2" xfId="2404" xr:uid="{00000000-0005-0000-0000-000094060000}"/>
    <cellStyle name="Percent 3 5 2 3" xfId="2403" xr:uid="{00000000-0005-0000-0000-000095060000}"/>
    <cellStyle name="Percent 3 5 3" xfId="1492" xr:uid="{00000000-0005-0000-0000-000096060000}"/>
    <cellStyle name="Percent 3 5 3 2" xfId="2405" xr:uid="{00000000-0005-0000-0000-000097060000}"/>
    <cellStyle name="Percent 3 5 4" xfId="2402" xr:uid="{00000000-0005-0000-0000-000098060000}"/>
    <cellStyle name="Percent 3 6" xfId="359" xr:uid="{00000000-0005-0000-0000-000099060000}"/>
    <cellStyle name="Percent 3 6 2" xfId="1494" xr:uid="{00000000-0005-0000-0000-00009A060000}"/>
    <cellStyle name="Percent 3 6 2 2" xfId="2407" xr:uid="{00000000-0005-0000-0000-00009B060000}"/>
    <cellStyle name="Percent 3 6 3" xfId="2406" xr:uid="{00000000-0005-0000-0000-00009C060000}"/>
    <cellStyle name="Percent 3 7" xfId="1162" xr:uid="{00000000-0005-0000-0000-00009D060000}"/>
    <cellStyle name="Percent 3 8" xfId="1163" xr:uid="{00000000-0005-0000-0000-00009E060000}"/>
    <cellStyle name="Percent 3 9" xfId="1164" xr:uid="{00000000-0005-0000-0000-00009F060000}"/>
    <cellStyle name="Percent 4" xfId="360" xr:uid="{00000000-0005-0000-0000-0000A0060000}"/>
    <cellStyle name="Percent 4 2" xfId="361" xr:uid="{00000000-0005-0000-0000-0000A1060000}"/>
    <cellStyle name="Percent 4 2 2" xfId="362" xr:uid="{00000000-0005-0000-0000-0000A2060000}"/>
    <cellStyle name="Percent 4 2 2 2" xfId="363" xr:uid="{00000000-0005-0000-0000-0000A3060000}"/>
    <cellStyle name="Percent 4 2 2 2 2" xfId="1498" xr:uid="{00000000-0005-0000-0000-0000A4060000}"/>
    <cellStyle name="Percent 4 2 2 2 2 2" xfId="2412" xr:uid="{00000000-0005-0000-0000-0000A5060000}"/>
    <cellStyle name="Percent 4 2 2 2 3" xfId="2411" xr:uid="{00000000-0005-0000-0000-0000A6060000}"/>
    <cellStyle name="Percent 4 2 2 3" xfId="1497" xr:uid="{00000000-0005-0000-0000-0000A7060000}"/>
    <cellStyle name="Percent 4 2 2 3 2" xfId="2413" xr:uid="{00000000-0005-0000-0000-0000A8060000}"/>
    <cellStyle name="Percent 4 2 2 4" xfId="2410" xr:uid="{00000000-0005-0000-0000-0000A9060000}"/>
    <cellStyle name="Percent 4 2 3" xfId="364" xr:uid="{00000000-0005-0000-0000-0000AA060000}"/>
    <cellStyle name="Percent 4 2 3 2" xfId="1499" xr:uid="{00000000-0005-0000-0000-0000AB060000}"/>
    <cellStyle name="Percent 4 2 3 2 2" xfId="2415" xr:uid="{00000000-0005-0000-0000-0000AC060000}"/>
    <cellStyle name="Percent 4 2 3 3" xfId="2414" xr:uid="{00000000-0005-0000-0000-0000AD060000}"/>
    <cellStyle name="Percent 4 2 4" xfId="1496" xr:uid="{00000000-0005-0000-0000-0000AE060000}"/>
    <cellStyle name="Percent 4 2 4 2" xfId="2416" xr:uid="{00000000-0005-0000-0000-0000AF060000}"/>
    <cellStyle name="Percent 4 2 5" xfId="2409" xr:uid="{00000000-0005-0000-0000-0000B0060000}"/>
    <cellStyle name="Percent 4 3" xfId="365" xr:uid="{00000000-0005-0000-0000-0000B1060000}"/>
    <cellStyle name="Percent 4 3 2" xfId="366" xr:uid="{00000000-0005-0000-0000-0000B2060000}"/>
    <cellStyle name="Percent 4 3 2 2" xfId="1501" xr:uid="{00000000-0005-0000-0000-0000B3060000}"/>
    <cellStyle name="Percent 4 3 2 2 2" xfId="2419" xr:uid="{00000000-0005-0000-0000-0000B4060000}"/>
    <cellStyle name="Percent 4 3 2 3" xfId="2418" xr:uid="{00000000-0005-0000-0000-0000B5060000}"/>
    <cellStyle name="Percent 4 3 3" xfId="1500" xr:uid="{00000000-0005-0000-0000-0000B6060000}"/>
    <cellStyle name="Percent 4 3 3 2" xfId="2420" xr:uid="{00000000-0005-0000-0000-0000B7060000}"/>
    <cellStyle name="Percent 4 3 4" xfId="2417" xr:uid="{00000000-0005-0000-0000-0000B8060000}"/>
    <cellStyle name="Percent 4 4" xfId="367" xr:uid="{00000000-0005-0000-0000-0000B9060000}"/>
    <cellStyle name="Percent 4 4 2" xfId="1502" xr:uid="{00000000-0005-0000-0000-0000BA060000}"/>
    <cellStyle name="Percent 4 4 2 2" xfId="2422" xr:uid="{00000000-0005-0000-0000-0000BB060000}"/>
    <cellStyle name="Percent 4 4 3" xfId="2421" xr:uid="{00000000-0005-0000-0000-0000BC060000}"/>
    <cellStyle name="Percent 4 5" xfId="1495" xr:uid="{00000000-0005-0000-0000-0000BD060000}"/>
    <cellStyle name="Percent 4 5 2" xfId="2423" xr:uid="{00000000-0005-0000-0000-0000BE060000}"/>
    <cellStyle name="Percent 4 6" xfId="2408" xr:uid="{00000000-0005-0000-0000-0000BF060000}"/>
    <cellStyle name="Percent 5" xfId="368" xr:uid="{00000000-0005-0000-0000-0000C0060000}"/>
    <cellStyle name="Percent 5 2" xfId="369" xr:uid="{00000000-0005-0000-0000-0000C1060000}"/>
    <cellStyle name="Percent 5 2 2" xfId="370" xr:uid="{00000000-0005-0000-0000-0000C2060000}"/>
    <cellStyle name="Percent 5 2 2 2" xfId="1505" xr:uid="{00000000-0005-0000-0000-0000C3060000}"/>
    <cellStyle name="Percent 5 2 2 2 2" xfId="2427" xr:uid="{00000000-0005-0000-0000-0000C4060000}"/>
    <cellStyle name="Percent 5 2 2 3" xfId="2426" xr:uid="{00000000-0005-0000-0000-0000C5060000}"/>
    <cellStyle name="Percent 5 2 3" xfId="1504" xr:uid="{00000000-0005-0000-0000-0000C6060000}"/>
    <cellStyle name="Percent 5 2 3 2" xfId="2428" xr:uid="{00000000-0005-0000-0000-0000C7060000}"/>
    <cellStyle name="Percent 5 2 4" xfId="2425" xr:uid="{00000000-0005-0000-0000-0000C8060000}"/>
    <cellStyle name="Percent 5 3" xfId="371" xr:uid="{00000000-0005-0000-0000-0000C9060000}"/>
    <cellStyle name="Percent 5 3 2" xfId="1506" xr:uid="{00000000-0005-0000-0000-0000CA060000}"/>
    <cellStyle name="Percent 5 3 2 2" xfId="2430" xr:uid="{00000000-0005-0000-0000-0000CB060000}"/>
    <cellStyle name="Percent 5 3 3" xfId="2429" xr:uid="{00000000-0005-0000-0000-0000CC060000}"/>
    <cellStyle name="Percent 5 4" xfId="1503" xr:uid="{00000000-0005-0000-0000-0000CD060000}"/>
    <cellStyle name="Percent 5 4 2" xfId="2431" xr:uid="{00000000-0005-0000-0000-0000CE060000}"/>
    <cellStyle name="Percent 5 5" xfId="2424" xr:uid="{00000000-0005-0000-0000-0000CF060000}"/>
    <cellStyle name="Percent 6" xfId="372" xr:uid="{00000000-0005-0000-0000-0000D0060000}"/>
    <cellStyle name="Percent 6 2" xfId="373" xr:uid="{00000000-0005-0000-0000-0000D1060000}"/>
    <cellStyle name="Percent 6 2 2" xfId="1508" xr:uid="{00000000-0005-0000-0000-0000D2060000}"/>
    <cellStyle name="Percent 6 2 2 2" xfId="2434" xr:uid="{00000000-0005-0000-0000-0000D3060000}"/>
    <cellStyle name="Percent 6 2 3" xfId="2433" xr:uid="{00000000-0005-0000-0000-0000D4060000}"/>
    <cellStyle name="Percent 6 3" xfId="1507" xr:uid="{00000000-0005-0000-0000-0000D5060000}"/>
    <cellStyle name="Percent 6 3 2" xfId="2435" xr:uid="{00000000-0005-0000-0000-0000D6060000}"/>
    <cellStyle name="Percent 6 4" xfId="2432" xr:uid="{00000000-0005-0000-0000-0000D7060000}"/>
    <cellStyle name="Percent 7" xfId="374" xr:uid="{00000000-0005-0000-0000-0000D8060000}"/>
    <cellStyle name="Percent 7 2" xfId="375" xr:uid="{00000000-0005-0000-0000-0000D9060000}"/>
    <cellStyle name="Percent 7 2 2" xfId="1510" xr:uid="{00000000-0005-0000-0000-0000DA060000}"/>
    <cellStyle name="Percent 7 2 2 2" xfId="2437" xr:uid="{00000000-0005-0000-0000-0000DB060000}"/>
    <cellStyle name="Percent 7 2 3" xfId="2436" xr:uid="{00000000-0005-0000-0000-0000DC060000}"/>
    <cellStyle name="Percent 7 3" xfId="1509" xr:uid="{00000000-0005-0000-0000-0000DD060000}"/>
    <cellStyle name="Percent 7 3 2" xfId="2438" xr:uid="{00000000-0005-0000-0000-0000DE060000}"/>
    <cellStyle name="Percent 7 4" xfId="1850" xr:uid="{00000000-0005-0000-0000-0000DF060000}"/>
    <cellStyle name="Percent 7 4 2" xfId="2439" xr:uid="{00000000-0005-0000-0000-0000E0060000}"/>
    <cellStyle name="Percent 7 5" xfId="1854" xr:uid="{00000000-0005-0000-0000-0000E1060000}"/>
    <cellStyle name="Percent 7 6" xfId="3135" xr:uid="{00000000-0005-0000-0000-0000E2060000}"/>
    <cellStyle name="Percent 8" xfId="376" xr:uid="{00000000-0005-0000-0000-0000E3060000}"/>
    <cellStyle name="Percent 8 2" xfId="377" xr:uid="{00000000-0005-0000-0000-0000E4060000}"/>
    <cellStyle name="Percent 8 2 2" xfId="1512" xr:uid="{00000000-0005-0000-0000-0000E5060000}"/>
    <cellStyle name="Percent 8 2 2 2" xfId="2442" xr:uid="{00000000-0005-0000-0000-0000E6060000}"/>
    <cellStyle name="Percent 8 2 3" xfId="2441" xr:uid="{00000000-0005-0000-0000-0000E7060000}"/>
    <cellStyle name="Percent 8 3" xfId="1511" xr:uid="{00000000-0005-0000-0000-0000E8060000}"/>
    <cellStyle name="Percent 8 3 2" xfId="2443" xr:uid="{00000000-0005-0000-0000-0000E9060000}"/>
    <cellStyle name="Percent 8 4" xfId="2440" xr:uid="{00000000-0005-0000-0000-0000EA060000}"/>
    <cellStyle name="Percent 8 5" xfId="5" xr:uid="{00000000-0005-0000-0000-0000EB060000}"/>
    <cellStyle name="Percent 9" xfId="378" xr:uid="{00000000-0005-0000-0000-0000EC060000}"/>
    <cellStyle name="Percent 9 2" xfId="729" xr:uid="{00000000-0005-0000-0000-0000ED060000}"/>
    <cellStyle name="Percent 9 2 2" xfId="1514" xr:uid="{00000000-0005-0000-0000-0000EE060000}"/>
    <cellStyle name="Percent 9 2 2 2" xfId="2446" xr:uid="{00000000-0005-0000-0000-0000EF060000}"/>
    <cellStyle name="Percent 9 2 3" xfId="2445" xr:uid="{00000000-0005-0000-0000-0000F0060000}"/>
    <cellStyle name="Percent 9 3" xfId="1513" xr:uid="{00000000-0005-0000-0000-0000F1060000}"/>
    <cellStyle name="Percent 9 3 2" xfId="2447" xr:uid="{00000000-0005-0000-0000-0000F2060000}"/>
    <cellStyle name="Percent 9 4" xfId="2444" xr:uid="{00000000-0005-0000-0000-0000F3060000}"/>
    <cellStyle name="Pourcentage 2" xfId="379" xr:uid="{00000000-0005-0000-0000-0000F5060000}"/>
    <cellStyle name="Pourcentage 2 10" xfId="1165" xr:uid="{00000000-0005-0000-0000-0000F6060000}"/>
    <cellStyle name="Pourcentage 2 11" xfId="1166" xr:uid="{00000000-0005-0000-0000-0000F7060000}"/>
    <cellStyle name="Pourcentage 2 12" xfId="1167" xr:uid="{00000000-0005-0000-0000-0000F8060000}"/>
    <cellStyle name="Pourcentage 2 13" xfId="1168" xr:uid="{00000000-0005-0000-0000-0000F9060000}"/>
    <cellStyle name="Pourcentage 2 14" xfId="1169" xr:uid="{00000000-0005-0000-0000-0000FA060000}"/>
    <cellStyle name="Pourcentage 2 2" xfId="380" xr:uid="{00000000-0005-0000-0000-0000FB060000}"/>
    <cellStyle name="Pourcentage 2 3" xfId="1170" xr:uid="{00000000-0005-0000-0000-0000FC060000}"/>
    <cellStyle name="Pourcentage 2 4" xfId="1171" xr:uid="{00000000-0005-0000-0000-0000FD060000}"/>
    <cellStyle name="Pourcentage 2 5" xfId="1172" xr:uid="{00000000-0005-0000-0000-0000FE060000}"/>
    <cellStyle name="Pourcentage 2 6" xfId="1173" xr:uid="{00000000-0005-0000-0000-0000FF060000}"/>
    <cellStyle name="Pourcentage 2 7" xfId="1174" xr:uid="{00000000-0005-0000-0000-000000070000}"/>
    <cellStyle name="Pourcentage 2 8" xfId="1175" xr:uid="{00000000-0005-0000-0000-000001070000}"/>
    <cellStyle name="Pourcentage 2 9" xfId="1176" xr:uid="{00000000-0005-0000-0000-000002070000}"/>
    <cellStyle name="Pourcentage 3" xfId="381" xr:uid="{00000000-0005-0000-0000-000003070000}"/>
    <cellStyle name="Pourcentage 5" xfId="382" xr:uid="{00000000-0005-0000-0000-000004070000}"/>
    <cellStyle name="Pourcentage 5 2" xfId="383" xr:uid="{00000000-0005-0000-0000-000005070000}"/>
    <cellStyle name="Pourcentage 5 3" xfId="384" xr:uid="{00000000-0005-0000-0000-000006070000}"/>
    <cellStyle name="Pourcentage 5 4" xfId="385" xr:uid="{00000000-0005-0000-0000-000007070000}"/>
    <cellStyle name="Pourcentage 5 5" xfId="386" xr:uid="{00000000-0005-0000-0000-000008070000}"/>
    <cellStyle name="Pourcentage 5 6" xfId="387" xr:uid="{00000000-0005-0000-0000-000009070000}"/>
    <cellStyle name="Pourcentage 5 7" xfId="388" xr:uid="{00000000-0005-0000-0000-00000A070000}"/>
    <cellStyle name="Pourcentage 5 8" xfId="389" xr:uid="{00000000-0005-0000-0000-00000B070000}"/>
    <cellStyle name="Pourcentage 6" xfId="390" xr:uid="{00000000-0005-0000-0000-00000C070000}"/>
    <cellStyle name="Pourcentage 6 2" xfId="391" xr:uid="{00000000-0005-0000-0000-00000D070000}"/>
    <cellStyle name="Pourcentage 6 3" xfId="392" xr:uid="{00000000-0005-0000-0000-00000E070000}"/>
    <cellStyle name="Pourcentage 6 4" xfId="393" xr:uid="{00000000-0005-0000-0000-00000F070000}"/>
    <cellStyle name="Pourcentage 6 5" xfId="394" xr:uid="{00000000-0005-0000-0000-000010070000}"/>
    <cellStyle name="Pourcentage 6 6" xfId="395" xr:uid="{00000000-0005-0000-0000-000011070000}"/>
    <cellStyle name="Pourcentage 6 7" xfId="396" xr:uid="{00000000-0005-0000-0000-000012070000}"/>
    <cellStyle name="Pourcentage 6 8" xfId="397" xr:uid="{00000000-0005-0000-0000-000013070000}"/>
    <cellStyle name="Pourcentage 9" xfId="398" xr:uid="{00000000-0005-0000-0000-000014070000}"/>
    <cellStyle name="Pourcentage 9 2" xfId="399" xr:uid="{00000000-0005-0000-0000-000015070000}"/>
    <cellStyle name="Satisfaisant 2" xfId="400" xr:uid="{00000000-0005-0000-0000-000016070000}"/>
    <cellStyle name="Satisfaisant 3" xfId="1177" xr:uid="{00000000-0005-0000-0000-000017070000}"/>
    <cellStyle name="Sortie 2" xfId="401" xr:uid="{00000000-0005-0000-0000-000018070000}"/>
    <cellStyle name="Sortie 3" xfId="1178" xr:uid="{00000000-0005-0000-0000-000019070000}"/>
    <cellStyle name="style1358256382946" xfId="402" xr:uid="{00000000-0005-0000-0000-00001A070000}"/>
    <cellStyle name="style1358256382946 2" xfId="403" xr:uid="{00000000-0005-0000-0000-00001B070000}"/>
    <cellStyle name="style1358256382946 2 2" xfId="404" xr:uid="{00000000-0005-0000-0000-00001C070000}"/>
    <cellStyle name="style1358256382946 2 2 2" xfId="405" xr:uid="{00000000-0005-0000-0000-00001D070000}"/>
    <cellStyle name="style1358256382946 2 2 2 2" xfId="1518" xr:uid="{00000000-0005-0000-0000-00001E070000}"/>
    <cellStyle name="style1358256382946 2 2 2 2 2" xfId="2452" xr:uid="{00000000-0005-0000-0000-00001F070000}"/>
    <cellStyle name="style1358256382946 2 2 2 3" xfId="2451" xr:uid="{00000000-0005-0000-0000-000020070000}"/>
    <cellStyle name="style1358256382946 2 2 3" xfId="1517" xr:uid="{00000000-0005-0000-0000-000021070000}"/>
    <cellStyle name="style1358256382946 2 2 3 2" xfId="2453" xr:uid="{00000000-0005-0000-0000-000022070000}"/>
    <cellStyle name="style1358256382946 2 2 4" xfId="2450" xr:uid="{00000000-0005-0000-0000-000023070000}"/>
    <cellStyle name="style1358256382946 2 3" xfId="406" xr:uid="{00000000-0005-0000-0000-000024070000}"/>
    <cellStyle name="style1358256382946 2 3 2" xfId="1519" xr:uid="{00000000-0005-0000-0000-000025070000}"/>
    <cellStyle name="style1358256382946 2 3 2 2" xfId="2455" xr:uid="{00000000-0005-0000-0000-000026070000}"/>
    <cellStyle name="style1358256382946 2 3 3" xfId="2454" xr:uid="{00000000-0005-0000-0000-000027070000}"/>
    <cellStyle name="style1358256382946 2 4" xfId="1516" xr:uid="{00000000-0005-0000-0000-000028070000}"/>
    <cellStyle name="style1358256382946 2 4 2" xfId="2456" xr:uid="{00000000-0005-0000-0000-000029070000}"/>
    <cellStyle name="style1358256382946 2 5" xfId="2449" xr:uid="{00000000-0005-0000-0000-00002A070000}"/>
    <cellStyle name="style1358256382946 3" xfId="407" xr:uid="{00000000-0005-0000-0000-00002B070000}"/>
    <cellStyle name="style1358256382946 3 2" xfId="408" xr:uid="{00000000-0005-0000-0000-00002C070000}"/>
    <cellStyle name="style1358256382946 3 2 2" xfId="1521" xr:uid="{00000000-0005-0000-0000-00002D070000}"/>
    <cellStyle name="style1358256382946 3 2 2 2" xfId="2459" xr:uid="{00000000-0005-0000-0000-00002E070000}"/>
    <cellStyle name="style1358256382946 3 2 3" xfId="2458" xr:uid="{00000000-0005-0000-0000-00002F070000}"/>
    <cellStyle name="style1358256382946 3 3" xfId="1520" xr:uid="{00000000-0005-0000-0000-000030070000}"/>
    <cellStyle name="style1358256382946 3 3 2" xfId="2460" xr:uid="{00000000-0005-0000-0000-000031070000}"/>
    <cellStyle name="style1358256382946 3 4" xfId="2457" xr:uid="{00000000-0005-0000-0000-000032070000}"/>
    <cellStyle name="style1358256382946 4" xfId="409" xr:uid="{00000000-0005-0000-0000-000033070000}"/>
    <cellStyle name="style1358256382946 4 2" xfId="1522" xr:uid="{00000000-0005-0000-0000-000034070000}"/>
    <cellStyle name="style1358256382946 4 2 2" xfId="2462" xr:uid="{00000000-0005-0000-0000-000035070000}"/>
    <cellStyle name="style1358256382946 4 3" xfId="2461" xr:uid="{00000000-0005-0000-0000-000036070000}"/>
    <cellStyle name="style1358256382946 5" xfId="1515" xr:uid="{00000000-0005-0000-0000-000037070000}"/>
    <cellStyle name="style1358256382946 5 2" xfId="2463" xr:uid="{00000000-0005-0000-0000-000038070000}"/>
    <cellStyle name="style1358256382946 6" xfId="2448" xr:uid="{00000000-0005-0000-0000-000039070000}"/>
    <cellStyle name="style1358256382985" xfId="410" xr:uid="{00000000-0005-0000-0000-00003A070000}"/>
    <cellStyle name="style1358256382985 2" xfId="411" xr:uid="{00000000-0005-0000-0000-00003B070000}"/>
    <cellStyle name="style1358256382985 2 2" xfId="412" xr:uid="{00000000-0005-0000-0000-00003C070000}"/>
    <cellStyle name="style1358256382985 2 2 2" xfId="413" xr:uid="{00000000-0005-0000-0000-00003D070000}"/>
    <cellStyle name="style1358256382985 2 2 2 2" xfId="1526" xr:uid="{00000000-0005-0000-0000-00003E070000}"/>
    <cellStyle name="style1358256382985 2 2 2 2 2" xfId="2468" xr:uid="{00000000-0005-0000-0000-00003F070000}"/>
    <cellStyle name="style1358256382985 2 2 2 3" xfId="2467" xr:uid="{00000000-0005-0000-0000-000040070000}"/>
    <cellStyle name="style1358256382985 2 2 3" xfId="1525" xr:uid="{00000000-0005-0000-0000-000041070000}"/>
    <cellStyle name="style1358256382985 2 2 3 2" xfId="2469" xr:uid="{00000000-0005-0000-0000-000042070000}"/>
    <cellStyle name="style1358256382985 2 2 4" xfId="2466" xr:uid="{00000000-0005-0000-0000-000043070000}"/>
    <cellStyle name="style1358256382985 2 3" xfId="414" xr:uid="{00000000-0005-0000-0000-000044070000}"/>
    <cellStyle name="style1358256382985 2 3 2" xfId="1527" xr:uid="{00000000-0005-0000-0000-000045070000}"/>
    <cellStyle name="style1358256382985 2 3 2 2" xfId="2471" xr:uid="{00000000-0005-0000-0000-000046070000}"/>
    <cellStyle name="style1358256382985 2 3 3" xfId="2470" xr:uid="{00000000-0005-0000-0000-000047070000}"/>
    <cellStyle name="style1358256382985 2 4" xfId="1524" xr:uid="{00000000-0005-0000-0000-000048070000}"/>
    <cellStyle name="style1358256382985 2 4 2" xfId="2472" xr:uid="{00000000-0005-0000-0000-000049070000}"/>
    <cellStyle name="style1358256382985 2 5" xfId="2465" xr:uid="{00000000-0005-0000-0000-00004A070000}"/>
    <cellStyle name="style1358256382985 3" xfId="415" xr:uid="{00000000-0005-0000-0000-00004B070000}"/>
    <cellStyle name="style1358256382985 3 2" xfId="416" xr:uid="{00000000-0005-0000-0000-00004C070000}"/>
    <cellStyle name="style1358256382985 3 2 2" xfId="1529" xr:uid="{00000000-0005-0000-0000-00004D070000}"/>
    <cellStyle name="style1358256382985 3 2 2 2" xfId="2475" xr:uid="{00000000-0005-0000-0000-00004E070000}"/>
    <cellStyle name="style1358256382985 3 2 3" xfId="2474" xr:uid="{00000000-0005-0000-0000-00004F070000}"/>
    <cellStyle name="style1358256382985 3 3" xfId="1528" xr:uid="{00000000-0005-0000-0000-000050070000}"/>
    <cellStyle name="style1358256382985 3 3 2" xfId="2476" xr:uid="{00000000-0005-0000-0000-000051070000}"/>
    <cellStyle name="style1358256382985 3 4" xfId="2473" xr:uid="{00000000-0005-0000-0000-000052070000}"/>
    <cellStyle name="style1358256382985 4" xfId="417" xr:uid="{00000000-0005-0000-0000-000053070000}"/>
    <cellStyle name="style1358256382985 4 2" xfId="1530" xr:uid="{00000000-0005-0000-0000-000054070000}"/>
    <cellStyle name="style1358256382985 4 2 2" xfId="2478" xr:uid="{00000000-0005-0000-0000-000055070000}"/>
    <cellStyle name="style1358256382985 4 3" xfId="2477" xr:uid="{00000000-0005-0000-0000-000056070000}"/>
    <cellStyle name="style1358256382985 5" xfId="1523" xr:uid="{00000000-0005-0000-0000-000057070000}"/>
    <cellStyle name="style1358256382985 5 2" xfId="2479" xr:uid="{00000000-0005-0000-0000-000058070000}"/>
    <cellStyle name="style1358256382985 6" xfId="2464" xr:uid="{00000000-0005-0000-0000-000059070000}"/>
    <cellStyle name="style1358256383019" xfId="418" xr:uid="{00000000-0005-0000-0000-00005A070000}"/>
    <cellStyle name="style1358256383019 10" xfId="1179" xr:uid="{00000000-0005-0000-0000-00005B070000}"/>
    <cellStyle name="style1358256383019 10 2" xfId="2481" xr:uid="{00000000-0005-0000-0000-00005C070000}"/>
    <cellStyle name="style1358256383019 11" xfId="1180" xr:uid="{00000000-0005-0000-0000-00005D070000}"/>
    <cellStyle name="style1358256383019 11 2" xfId="2482" xr:uid="{00000000-0005-0000-0000-00005E070000}"/>
    <cellStyle name="style1358256383019 12" xfId="1181" xr:uid="{00000000-0005-0000-0000-00005F070000}"/>
    <cellStyle name="style1358256383019 12 2" xfId="2483" xr:uid="{00000000-0005-0000-0000-000060070000}"/>
    <cellStyle name="style1358256383019 13" xfId="1182" xr:uid="{00000000-0005-0000-0000-000061070000}"/>
    <cellStyle name="style1358256383019 13 2" xfId="2484" xr:uid="{00000000-0005-0000-0000-000062070000}"/>
    <cellStyle name="style1358256383019 14" xfId="1183" xr:uid="{00000000-0005-0000-0000-000063070000}"/>
    <cellStyle name="style1358256383019 14 2" xfId="2485" xr:uid="{00000000-0005-0000-0000-000064070000}"/>
    <cellStyle name="style1358256383019 15" xfId="1531" xr:uid="{00000000-0005-0000-0000-000065070000}"/>
    <cellStyle name="style1358256383019 15 2" xfId="2486" xr:uid="{00000000-0005-0000-0000-000066070000}"/>
    <cellStyle name="style1358256383019 16" xfId="2480" xr:uid="{00000000-0005-0000-0000-000067070000}"/>
    <cellStyle name="style1358256383019 2" xfId="419" xr:uid="{00000000-0005-0000-0000-000068070000}"/>
    <cellStyle name="style1358256383019 2 2" xfId="420" xr:uid="{00000000-0005-0000-0000-000069070000}"/>
    <cellStyle name="style1358256383019 2 2 2" xfId="421" xr:uid="{00000000-0005-0000-0000-00006A070000}"/>
    <cellStyle name="style1358256383019 2 2 2 2" xfId="422" xr:uid="{00000000-0005-0000-0000-00006B070000}"/>
    <cellStyle name="style1358256383019 2 2 2 2 2" xfId="1535" xr:uid="{00000000-0005-0000-0000-00006C070000}"/>
    <cellStyle name="style1358256383019 2 2 2 2 2 2" xfId="2491" xr:uid="{00000000-0005-0000-0000-00006D070000}"/>
    <cellStyle name="style1358256383019 2 2 2 2 3" xfId="2490" xr:uid="{00000000-0005-0000-0000-00006E070000}"/>
    <cellStyle name="style1358256383019 2 2 2 3" xfId="1534" xr:uid="{00000000-0005-0000-0000-00006F070000}"/>
    <cellStyle name="style1358256383019 2 2 2 3 2" xfId="2492" xr:uid="{00000000-0005-0000-0000-000070070000}"/>
    <cellStyle name="style1358256383019 2 2 2 4" xfId="2489" xr:uid="{00000000-0005-0000-0000-000071070000}"/>
    <cellStyle name="style1358256383019 2 2 3" xfId="423" xr:uid="{00000000-0005-0000-0000-000072070000}"/>
    <cellStyle name="style1358256383019 2 2 3 2" xfId="1536" xr:uid="{00000000-0005-0000-0000-000073070000}"/>
    <cellStyle name="style1358256383019 2 2 3 2 2" xfId="2494" xr:uid="{00000000-0005-0000-0000-000074070000}"/>
    <cellStyle name="style1358256383019 2 2 3 3" xfId="2493" xr:uid="{00000000-0005-0000-0000-000075070000}"/>
    <cellStyle name="style1358256383019 2 2 4" xfId="1533" xr:uid="{00000000-0005-0000-0000-000076070000}"/>
    <cellStyle name="style1358256383019 2 2 4 2" xfId="2495" xr:uid="{00000000-0005-0000-0000-000077070000}"/>
    <cellStyle name="style1358256383019 2 2 5" xfId="2488" xr:uid="{00000000-0005-0000-0000-000078070000}"/>
    <cellStyle name="style1358256383019 2 3" xfId="424" xr:uid="{00000000-0005-0000-0000-000079070000}"/>
    <cellStyle name="style1358256383019 2 3 2" xfId="425" xr:uid="{00000000-0005-0000-0000-00007A070000}"/>
    <cellStyle name="style1358256383019 2 3 2 2" xfId="1538" xr:uid="{00000000-0005-0000-0000-00007B070000}"/>
    <cellStyle name="style1358256383019 2 3 2 2 2" xfId="2498" xr:uid="{00000000-0005-0000-0000-00007C070000}"/>
    <cellStyle name="style1358256383019 2 3 2 3" xfId="2497" xr:uid="{00000000-0005-0000-0000-00007D070000}"/>
    <cellStyle name="style1358256383019 2 3 3" xfId="1537" xr:uid="{00000000-0005-0000-0000-00007E070000}"/>
    <cellStyle name="style1358256383019 2 3 3 2" xfId="2499" xr:uid="{00000000-0005-0000-0000-00007F070000}"/>
    <cellStyle name="style1358256383019 2 3 4" xfId="2496" xr:uid="{00000000-0005-0000-0000-000080070000}"/>
    <cellStyle name="style1358256383019 2 4" xfId="426" xr:uid="{00000000-0005-0000-0000-000081070000}"/>
    <cellStyle name="style1358256383019 2 4 2" xfId="1539" xr:uid="{00000000-0005-0000-0000-000082070000}"/>
    <cellStyle name="style1358256383019 2 4 2 2" xfId="2501" xr:uid="{00000000-0005-0000-0000-000083070000}"/>
    <cellStyle name="style1358256383019 2 4 3" xfId="2500" xr:uid="{00000000-0005-0000-0000-000084070000}"/>
    <cellStyle name="style1358256383019 2 5" xfId="719" xr:uid="{00000000-0005-0000-0000-000085070000}"/>
    <cellStyle name="style1358256383019 2 5 2" xfId="1540" xr:uid="{00000000-0005-0000-0000-000086070000}"/>
    <cellStyle name="style1358256383019 2 5 2 2" xfId="2503" xr:uid="{00000000-0005-0000-0000-000087070000}"/>
    <cellStyle name="style1358256383019 2 5 3" xfId="2502" xr:uid="{00000000-0005-0000-0000-000088070000}"/>
    <cellStyle name="style1358256383019 2 6" xfId="1532" xr:uid="{00000000-0005-0000-0000-000089070000}"/>
    <cellStyle name="style1358256383019 2 6 2" xfId="2504" xr:uid="{00000000-0005-0000-0000-00008A070000}"/>
    <cellStyle name="style1358256383019 2 7" xfId="2487" xr:uid="{00000000-0005-0000-0000-00008B070000}"/>
    <cellStyle name="style1358256383019 3" xfId="427" xr:uid="{00000000-0005-0000-0000-00008C070000}"/>
    <cellStyle name="style1358256383019 3 2" xfId="428" xr:uid="{00000000-0005-0000-0000-00008D070000}"/>
    <cellStyle name="style1358256383019 3 2 2" xfId="429" xr:uid="{00000000-0005-0000-0000-00008E070000}"/>
    <cellStyle name="style1358256383019 3 2 2 2" xfId="1543" xr:uid="{00000000-0005-0000-0000-00008F070000}"/>
    <cellStyle name="style1358256383019 3 2 2 2 2" xfId="2508" xr:uid="{00000000-0005-0000-0000-000090070000}"/>
    <cellStyle name="style1358256383019 3 2 2 3" xfId="2507" xr:uid="{00000000-0005-0000-0000-000091070000}"/>
    <cellStyle name="style1358256383019 3 2 3" xfId="1542" xr:uid="{00000000-0005-0000-0000-000092070000}"/>
    <cellStyle name="style1358256383019 3 2 3 2" xfId="2509" xr:uid="{00000000-0005-0000-0000-000093070000}"/>
    <cellStyle name="style1358256383019 3 2 4" xfId="2506" xr:uid="{00000000-0005-0000-0000-000094070000}"/>
    <cellStyle name="style1358256383019 3 3" xfId="430" xr:uid="{00000000-0005-0000-0000-000095070000}"/>
    <cellStyle name="style1358256383019 3 3 2" xfId="1544" xr:uid="{00000000-0005-0000-0000-000096070000}"/>
    <cellStyle name="style1358256383019 3 3 2 2" xfId="2511" xr:uid="{00000000-0005-0000-0000-000097070000}"/>
    <cellStyle name="style1358256383019 3 3 3" xfId="2510" xr:uid="{00000000-0005-0000-0000-000098070000}"/>
    <cellStyle name="style1358256383019 3 4" xfId="1541" xr:uid="{00000000-0005-0000-0000-000099070000}"/>
    <cellStyle name="style1358256383019 3 4 2" xfId="2512" xr:uid="{00000000-0005-0000-0000-00009A070000}"/>
    <cellStyle name="style1358256383019 3 5" xfId="2505" xr:uid="{00000000-0005-0000-0000-00009B070000}"/>
    <cellStyle name="style1358256383019 4" xfId="431" xr:uid="{00000000-0005-0000-0000-00009C070000}"/>
    <cellStyle name="style1358256383019 4 2" xfId="432" xr:uid="{00000000-0005-0000-0000-00009D070000}"/>
    <cellStyle name="style1358256383019 4 2 2" xfId="1546" xr:uid="{00000000-0005-0000-0000-00009E070000}"/>
    <cellStyle name="style1358256383019 4 2 2 2" xfId="2515" xr:uid="{00000000-0005-0000-0000-00009F070000}"/>
    <cellStyle name="style1358256383019 4 2 3" xfId="2514" xr:uid="{00000000-0005-0000-0000-0000A0070000}"/>
    <cellStyle name="style1358256383019 4 3" xfId="1545" xr:uid="{00000000-0005-0000-0000-0000A1070000}"/>
    <cellStyle name="style1358256383019 4 3 2" xfId="2516" xr:uid="{00000000-0005-0000-0000-0000A2070000}"/>
    <cellStyle name="style1358256383019 4 4" xfId="2513" xr:uid="{00000000-0005-0000-0000-0000A3070000}"/>
    <cellStyle name="style1358256383019 5" xfId="433" xr:uid="{00000000-0005-0000-0000-0000A4070000}"/>
    <cellStyle name="style1358256383019 5 2" xfId="1547" xr:uid="{00000000-0005-0000-0000-0000A5070000}"/>
    <cellStyle name="style1358256383019 5 2 2" xfId="2518" xr:uid="{00000000-0005-0000-0000-0000A6070000}"/>
    <cellStyle name="style1358256383019 5 3" xfId="2517" xr:uid="{00000000-0005-0000-0000-0000A7070000}"/>
    <cellStyle name="style1358256383019 6" xfId="1184" xr:uid="{00000000-0005-0000-0000-0000A8070000}"/>
    <cellStyle name="style1358256383019 6 2" xfId="2519" xr:uid="{00000000-0005-0000-0000-0000A9070000}"/>
    <cellStyle name="style1358256383019 7" xfId="1185" xr:uid="{00000000-0005-0000-0000-0000AA070000}"/>
    <cellStyle name="style1358256383019 7 2" xfId="2520" xr:uid="{00000000-0005-0000-0000-0000AB070000}"/>
    <cellStyle name="style1358256383019 8" xfId="1186" xr:uid="{00000000-0005-0000-0000-0000AC070000}"/>
    <cellStyle name="style1358256383019 8 2" xfId="2521" xr:uid="{00000000-0005-0000-0000-0000AD070000}"/>
    <cellStyle name="style1358256383019 9" xfId="1187" xr:uid="{00000000-0005-0000-0000-0000AE070000}"/>
    <cellStyle name="style1358256383019 9 2" xfId="2522" xr:uid="{00000000-0005-0000-0000-0000AF070000}"/>
    <cellStyle name="style1358256383052" xfId="434" xr:uid="{00000000-0005-0000-0000-0000B0070000}"/>
    <cellStyle name="style1358256383052 2" xfId="435" xr:uid="{00000000-0005-0000-0000-0000B1070000}"/>
    <cellStyle name="style1358256383052 2 2" xfId="436" xr:uid="{00000000-0005-0000-0000-0000B2070000}"/>
    <cellStyle name="style1358256383052 2 2 2" xfId="437" xr:uid="{00000000-0005-0000-0000-0000B3070000}"/>
    <cellStyle name="style1358256383052 2 2 2 2" xfId="1551" xr:uid="{00000000-0005-0000-0000-0000B4070000}"/>
    <cellStyle name="style1358256383052 2 2 2 2 2" xfId="2527" xr:uid="{00000000-0005-0000-0000-0000B5070000}"/>
    <cellStyle name="style1358256383052 2 2 2 3" xfId="2526" xr:uid="{00000000-0005-0000-0000-0000B6070000}"/>
    <cellStyle name="style1358256383052 2 2 3" xfId="1550" xr:uid="{00000000-0005-0000-0000-0000B7070000}"/>
    <cellStyle name="style1358256383052 2 2 3 2" xfId="2528" xr:uid="{00000000-0005-0000-0000-0000B8070000}"/>
    <cellStyle name="style1358256383052 2 2 4" xfId="2525" xr:uid="{00000000-0005-0000-0000-0000B9070000}"/>
    <cellStyle name="style1358256383052 2 3" xfId="438" xr:uid="{00000000-0005-0000-0000-0000BA070000}"/>
    <cellStyle name="style1358256383052 2 3 2" xfId="1552" xr:uid="{00000000-0005-0000-0000-0000BB070000}"/>
    <cellStyle name="style1358256383052 2 3 2 2" xfId="2530" xr:uid="{00000000-0005-0000-0000-0000BC070000}"/>
    <cellStyle name="style1358256383052 2 3 3" xfId="2529" xr:uid="{00000000-0005-0000-0000-0000BD070000}"/>
    <cellStyle name="style1358256383052 2 4" xfId="1549" xr:uid="{00000000-0005-0000-0000-0000BE070000}"/>
    <cellStyle name="style1358256383052 2 4 2" xfId="2531" xr:uid="{00000000-0005-0000-0000-0000BF070000}"/>
    <cellStyle name="style1358256383052 2 5" xfId="2524" xr:uid="{00000000-0005-0000-0000-0000C0070000}"/>
    <cellStyle name="style1358256383052 3" xfId="439" xr:uid="{00000000-0005-0000-0000-0000C1070000}"/>
    <cellStyle name="style1358256383052 3 2" xfId="440" xr:uid="{00000000-0005-0000-0000-0000C2070000}"/>
    <cellStyle name="style1358256383052 3 2 2" xfId="1554" xr:uid="{00000000-0005-0000-0000-0000C3070000}"/>
    <cellStyle name="style1358256383052 3 2 2 2" xfId="2534" xr:uid="{00000000-0005-0000-0000-0000C4070000}"/>
    <cellStyle name="style1358256383052 3 2 3" xfId="2533" xr:uid="{00000000-0005-0000-0000-0000C5070000}"/>
    <cellStyle name="style1358256383052 3 3" xfId="1553" xr:uid="{00000000-0005-0000-0000-0000C6070000}"/>
    <cellStyle name="style1358256383052 3 3 2" xfId="2535" xr:uid="{00000000-0005-0000-0000-0000C7070000}"/>
    <cellStyle name="style1358256383052 3 4" xfId="2532" xr:uid="{00000000-0005-0000-0000-0000C8070000}"/>
    <cellStyle name="style1358256383052 4" xfId="441" xr:uid="{00000000-0005-0000-0000-0000C9070000}"/>
    <cellStyle name="style1358256383052 4 2" xfId="1555" xr:uid="{00000000-0005-0000-0000-0000CA070000}"/>
    <cellStyle name="style1358256383052 4 2 2" xfId="2537" xr:uid="{00000000-0005-0000-0000-0000CB070000}"/>
    <cellStyle name="style1358256383052 4 3" xfId="2536" xr:uid="{00000000-0005-0000-0000-0000CC070000}"/>
    <cellStyle name="style1358256383052 5" xfId="1548" xr:uid="{00000000-0005-0000-0000-0000CD070000}"/>
    <cellStyle name="style1358256383052 5 2" xfId="2538" xr:uid="{00000000-0005-0000-0000-0000CE070000}"/>
    <cellStyle name="style1358256383052 6" xfId="2523" xr:uid="{00000000-0005-0000-0000-0000CF070000}"/>
    <cellStyle name="style1358256383091" xfId="442" xr:uid="{00000000-0005-0000-0000-0000D0070000}"/>
    <cellStyle name="style1358256383091 10" xfId="1188" xr:uid="{00000000-0005-0000-0000-0000D1070000}"/>
    <cellStyle name="style1358256383091 10 2" xfId="2540" xr:uid="{00000000-0005-0000-0000-0000D2070000}"/>
    <cellStyle name="style1358256383091 11" xfId="1189" xr:uid="{00000000-0005-0000-0000-0000D3070000}"/>
    <cellStyle name="style1358256383091 11 2" xfId="2541" xr:uid="{00000000-0005-0000-0000-0000D4070000}"/>
    <cellStyle name="style1358256383091 12" xfId="1190" xr:uid="{00000000-0005-0000-0000-0000D5070000}"/>
    <cellStyle name="style1358256383091 12 2" xfId="2542" xr:uid="{00000000-0005-0000-0000-0000D6070000}"/>
    <cellStyle name="style1358256383091 13" xfId="1191" xr:uid="{00000000-0005-0000-0000-0000D7070000}"/>
    <cellStyle name="style1358256383091 13 2" xfId="2543" xr:uid="{00000000-0005-0000-0000-0000D8070000}"/>
    <cellStyle name="style1358256383091 14" xfId="1192" xr:uid="{00000000-0005-0000-0000-0000D9070000}"/>
    <cellStyle name="style1358256383091 14 2" xfId="2544" xr:uid="{00000000-0005-0000-0000-0000DA070000}"/>
    <cellStyle name="style1358256383091 15" xfId="1556" xr:uid="{00000000-0005-0000-0000-0000DB070000}"/>
    <cellStyle name="style1358256383091 15 2" xfId="2545" xr:uid="{00000000-0005-0000-0000-0000DC070000}"/>
    <cellStyle name="style1358256383091 16" xfId="2539" xr:uid="{00000000-0005-0000-0000-0000DD070000}"/>
    <cellStyle name="style1358256383091 2" xfId="443" xr:uid="{00000000-0005-0000-0000-0000DE070000}"/>
    <cellStyle name="style1358256383091 2 2" xfId="444" xr:uid="{00000000-0005-0000-0000-0000DF070000}"/>
    <cellStyle name="style1358256383091 2 2 2" xfId="445" xr:uid="{00000000-0005-0000-0000-0000E0070000}"/>
    <cellStyle name="style1358256383091 2 2 2 2" xfId="446" xr:uid="{00000000-0005-0000-0000-0000E1070000}"/>
    <cellStyle name="style1358256383091 2 2 2 2 2" xfId="1560" xr:uid="{00000000-0005-0000-0000-0000E2070000}"/>
    <cellStyle name="style1358256383091 2 2 2 2 2 2" xfId="2550" xr:uid="{00000000-0005-0000-0000-0000E3070000}"/>
    <cellStyle name="style1358256383091 2 2 2 2 3" xfId="2549" xr:uid="{00000000-0005-0000-0000-0000E4070000}"/>
    <cellStyle name="style1358256383091 2 2 2 3" xfId="1559" xr:uid="{00000000-0005-0000-0000-0000E5070000}"/>
    <cellStyle name="style1358256383091 2 2 2 3 2" xfId="2551" xr:uid="{00000000-0005-0000-0000-0000E6070000}"/>
    <cellStyle name="style1358256383091 2 2 2 4" xfId="2548" xr:uid="{00000000-0005-0000-0000-0000E7070000}"/>
    <cellStyle name="style1358256383091 2 2 3" xfId="447" xr:uid="{00000000-0005-0000-0000-0000E8070000}"/>
    <cellStyle name="style1358256383091 2 2 3 2" xfId="1561" xr:uid="{00000000-0005-0000-0000-0000E9070000}"/>
    <cellStyle name="style1358256383091 2 2 3 2 2" xfId="2553" xr:uid="{00000000-0005-0000-0000-0000EA070000}"/>
    <cellStyle name="style1358256383091 2 2 3 3" xfId="2552" xr:uid="{00000000-0005-0000-0000-0000EB070000}"/>
    <cellStyle name="style1358256383091 2 2 4" xfId="1558" xr:uid="{00000000-0005-0000-0000-0000EC070000}"/>
    <cellStyle name="style1358256383091 2 2 4 2" xfId="2554" xr:uid="{00000000-0005-0000-0000-0000ED070000}"/>
    <cellStyle name="style1358256383091 2 2 5" xfId="2547" xr:uid="{00000000-0005-0000-0000-0000EE070000}"/>
    <cellStyle name="style1358256383091 2 3" xfId="448" xr:uid="{00000000-0005-0000-0000-0000EF070000}"/>
    <cellStyle name="style1358256383091 2 3 2" xfId="449" xr:uid="{00000000-0005-0000-0000-0000F0070000}"/>
    <cellStyle name="style1358256383091 2 3 2 2" xfId="1563" xr:uid="{00000000-0005-0000-0000-0000F1070000}"/>
    <cellStyle name="style1358256383091 2 3 2 2 2" xfId="2557" xr:uid="{00000000-0005-0000-0000-0000F2070000}"/>
    <cellStyle name="style1358256383091 2 3 2 3" xfId="2556" xr:uid="{00000000-0005-0000-0000-0000F3070000}"/>
    <cellStyle name="style1358256383091 2 3 3" xfId="1562" xr:uid="{00000000-0005-0000-0000-0000F4070000}"/>
    <cellStyle name="style1358256383091 2 3 3 2" xfId="2558" xr:uid="{00000000-0005-0000-0000-0000F5070000}"/>
    <cellStyle name="style1358256383091 2 3 4" xfId="2555" xr:uid="{00000000-0005-0000-0000-0000F6070000}"/>
    <cellStyle name="style1358256383091 2 4" xfId="450" xr:uid="{00000000-0005-0000-0000-0000F7070000}"/>
    <cellStyle name="style1358256383091 2 4 2" xfId="1564" xr:uid="{00000000-0005-0000-0000-0000F8070000}"/>
    <cellStyle name="style1358256383091 2 4 2 2" xfId="2560" xr:uid="{00000000-0005-0000-0000-0000F9070000}"/>
    <cellStyle name="style1358256383091 2 4 3" xfId="2559" xr:uid="{00000000-0005-0000-0000-0000FA070000}"/>
    <cellStyle name="style1358256383091 2 5" xfId="720" xr:uid="{00000000-0005-0000-0000-0000FB070000}"/>
    <cellStyle name="style1358256383091 2 5 2" xfId="1565" xr:uid="{00000000-0005-0000-0000-0000FC070000}"/>
    <cellStyle name="style1358256383091 2 5 2 2" xfId="2562" xr:uid="{00000000-0005-0000-0000-0000FD070000}"/>
    <cellStyle name="style1358256383091 2 5 3" xfId="2561" xr:uid="{00000000-0005-0000-0000-0000FE070000}"/>
    <cellStyle name="style1358256383091 2 6" xfId="1557" xr:uid="{00000000-0005-0000-0000-0000FF070000}"/>
    <cellStyle name="style1358256383091 2 6 2" xfId="2563" xr:uid="{00000000-0005-0000-0000-000000080000}"/>
    <cellStyle name="style1358256383091 2 7" xfId="2546" xr:uid="{00000000-0005-0000-0000-000001080000}"/>
    <cellStyle name="style1358256383091 3" xfId="451" xr:uid="{00000000-0005-0000-0000-000002080000}"/>
    <cellStyle name="style1358256383091 3 2" xfId="452" xr:uid="{00000000-0005-0000-0000-000003080000}"/>
    <cellStyle name="style1358256383091 3 2 2" xfId="453" xr:uid="{00000000-0005-0000-0000-000004080000}"/>
    <cellStyle name="style1358256383091 3 2 2 2" xfId="1568" xr:uid="{00000000-0005-0000-0000-000005080000}"/>
    <cellStyle name="style1358256383091 3 2 2 2 2" xfId="2567" xr:uid="{00000000-0005-0000-0000-000006080000}"/>
    <cellStyle name="style1358256383091 3 2 2 3" xfId="2566" xr:uid="{00000000-0005-0000-0000-000007080000}"/>
    <cellStyle name="style1358256383091 3 2 3" xfId="1567" xr:uid="{00000000-0005-0000-0000-000008080000}"/>
    <cellStyle name="style1358256383091 3 2 3 2" xfId="2568" xr:uid="{00000000-0005-0000-0000-000009080000}"/>
    <cellStyle name="style1358256383091 3 2 4" xfId="2565" xr:uid="{00000000-0005-0000-0000-00000A080000}"/>
    <cellStyle name="style1358256383091 3 3" xfId="454" xr:uid="{00000000-0005-0000-0000-00000B080000}"/>
    <cellStyle name="style1358256383091 3 3 2" xfId="1569" xr:uid="{00000000-0005-0000-0000-00000C080000}"/>
    <cellStyle name="style1358256383091 3 3 2 2" xfId="2570" xr:uid="{00000000-0005-0000-0000-00000D080000}"/>
    <cellStyle name="style1358256383091 3 3 3" xfId="2569" xr:uid="{00000000-0005-0000-0000-00000E080000}"/>
    <cellStyle name="style1358256383091 3 4" xfId="1566" xr:uid="{00000000-0005-0000-0000-00000F080000}"/>
    <cellStyle name="style1358256383091 3 4 2" xfId="2571" xr:uid="{00000000-0005-0000-0000-000010080000}"/>
    <cellStyle name="style1358256383091 3 5" xfId="2564" xr:uid="{00000000-0005-0000-0000-000011080000}"/>
    <cellStyle name="style1358256383091 4" xfId="455" xr:uid="{00000000-0005-0000-0000-000012080000}"/>
    <cellStyle name="style1358256383091 4 2" xfId="456" xr:uid="{00000000-0005-0000-0000-000013080000}"/>
    <cellStyle name="style1358256383091 4 2 2" xfId="1571" xr:uid="{00000000-0005-0000-0000-000014080000}"/>
    <cellStyle name="style1358256383091 4 2 2 2" xfId="2574" xr:uid="{00000000-0005-0000-0000-000015080000}"/>
    <cellStyle name="style1358256383091 4 2 3" xfId="2573" xr:uid="{00000000-0005-0000-0000-000016080000}"/>
    <cellStyle name="style1358256383091 4 3" xfId="1570" xr:uid="{00000000-0005-0000-0000-000017080000}"/>
    <cellStyle name="style1358256383091 4 3 2" xfId="2575" xr:uid="{00000000-0005-0000-0000-000018080000}"/>
    <cellStyle name="style1358256383091 4 4" xfId="2572" xr:uid="{00000000-0005-0000-0000-000019080000}"/>
    <cellStyle name="style1358256383091 5" xfId="457" xr:uid="{00000000-0005-0000-0000-00001A080000}"/>
    <cellStyle name="style1358256383091 5 2" xfId="1572" xr:uid="{00000000-0005-0000-0000-00001B080000}"/>
    <cellStyle name="style1358256383091 5 2 2" xfId="2577" xr:uid="{00000000-0005-0000-0000-00001C080000}"/>
    <cellStyle name="style1358256383091 5 3" xfId="2576" xr:uid="{00000000-0005-0000-0000-00001D080000}"/>
    <cellStyle name="style1358256383091 6" xfId="1193" xr:uid="{00000000-0005-0000-0000-00001E080000}"/>
    <cellStyle name="style1358256383091 6 2" xfId="2578" xr:uid="{00000000-0005-0000-0000-00001F080000}"/>
    <cellStyle name="style1358256383091 7" xfId="1194" xr:uid="{00000000-0005-0000-0000-000020080000}"/>
    <cellStyle name="style1358256383091 7 2" xfId="2579" xr:uid="{00000000-0005-0000-0000-000021080000}"/>
    <cellStyle name="style1358256383091 8" xfId="1195" xr:uid="{00000000-0005-0000-0000-000022080000}"/>
    <cellStyle name="style1358256383091 8 2" xfId="2580" xr:uid="{00000000-0005-0000-0000-000023080000}"/>
    <cellStyle name="style1358256383091 9" xfId="1196" xr:uid="{00000000-0005-0000-0000-000024080000}"/>
    <cellStyle name="style1358256383091 9 2" xfId="2581" xr:uid="{00000000-0005-0000-0000-000025080000}"/>
    <cellStyle name="style1358256383127" xfId="458" xr:uid="{00000000-0005-0000-0000-000026080000}"/>
    <cellStyle name="style1358256383127 10" xfId="1197" xr:uid="{00000000-0005-0000-0000-000027080000}"/>
    <cellStyle name="style1358256383127 10 2" xfId="2583" xr:uid="{00000000-0005-0000-0000-000028080000}"/>
    <cellStyle name="style1358256383127 11" xfId="1198" xr:uid="{00000000-0005-0000-0000-000029080000}"/>
    <cellStyle name="style1358256383127 11 2" xfId="2584" xr:uid="{00000000-0005-0000-0000-00002A080000}"/>
    <cellStyle name="style1358256383127 12" xfId="1199" xr:uid="{00000000-0005-0000-0000-00002B080000}"/>
    <cellStyle name="style1358256383127 12 2" xfId="2585" xr:uid="{00000000-0005-0000-0000-00002C080000}"/>
    <cellStyle name="style1358256383127 13" xfId="1200" xr:uid="{00000000-0005-0000-0000-00002D080000}"/>
    <cellStyle name="style1358256383127 13 2" xfId="2586" xr:uid="{00000000-0005-0000-0000-00002E080000}"/>
    <cellStyle name="style1358256383127 14" xfId="1201" xr:uid="{00000000-0005-0000-0000-00002F080000}"/>
    <cellStyle name="style1358256383127 14 2" xfId="2587" xr:uid="{00000000-0005-0000-0000-000030080000}"/>
    <cellStyle name="style1358256383127 15" xfId="1573" xr:uid="{00000000-0005-0000-0000-000031080000}"/>
    <cellStyle name="style1358256383127 15 2" xfId="2588" xr:uid="{00000000-0005-0000-0000-000032080000}"/>
    <cellStyle name="style1358256383127 16" xfId="2582" xr:uid="{00000000-0005-0000-0000-000033080000}"/>
    <cellStyle name="style1358256383127 2" xfId="459" xr:uid="{00000000-0005-0000-0000-000034080000}"/>
    <cellStyle name="style1358256383127 2 2" xfId="460" xr:uid="{00000000-0005-0000-0000-000035080000}"/>
    <cellStyle name="style1358256383127 2 2 2" xfId="461" xr:uid="{00000000-0005-0000-0000-000036080000}"/>
    <cellStyle name="style1358256383127 2 2 2 2" xfId="462" xr:uid="{00000000-0005-0000-0000-000037080000}"/>
    <cellStyle name="style1358256383127 2 2 2 2 2" xfId="1577" xr:uid="{00000000-0005-0000-0000-000038080000}"/>
    <cellStyle name="style1358256383127 2 2 2 2 2 2" xfId="2593" xr:uid="{00000000-0005-0000-0000-000039080000}"/>
    <cellStyle name="style1358256383127 2 2 2 2 3" xfId="2592" xr:uid="{00000000-0005-0000-0000-00003A080000}"/>
    <cellStyle name="style1358256383127 2 2 2 3" xfId="1576" xr:uid="{00000000-0005-0000-0000-00003B080000}"/>
    <cellStyle name="style1358256383127 2 2 2 3 2" xfId="2594" xr:uid="{00000000-0005-0000-0000-00003C080000}"/>
    <cellStyle name="style1358256383127 2 2 2 4" xfId="2591" xr:uid="{00000000-0005-0000-0000-00003D080000}"/>
    <cellStyle name="style1358256383127 2 2 3" xfId="463" xr:uid="{00000000-0005-0000-0000-00003E080000}"/>
    <cellStyle name="style1358256383127 2 2 3 2" xfId="1578" xr:uid="{00000000-0005-0000-0000-00003F080000}"/>
    <cellStyle name="style1358256383127 2 2 3 2 2" xfId="2596" xr:uid="{00000000-0005-0000-0000-000040080000}"/>
    <cellStyle name="style1358256383127 2 2 3 3" xfId="2595" xr:uid="{00000000-0005-0000-0000-000041080000}"/>
    <cellStyle name="style1358256383127 2 2 4" xfId="1575" xr:uid="{00000000-0005-0000-0000-000042080000}"/>
    <cellStyle name="style1358256383127 2 2 4 2" xfId="2597" xr:uid="{00000000-0005-0000-0000-000043080000}"/>
    <cellStyle name="style1358256383127 2 2 5" xfId="2590" xr:uid="{00000000-0005-0000-0000-000044080000}"/>
    <cellStyle name="style1358256383127 2 3" xfId="464" xr:uid="{00000000-0005-0000-0000-000045080000}"/>
    <cellStyle name="style1358256383127 2 3 2" xfId="465" xr:uid="{00000000-0005-0000-0000-000046080000}"/>
    <cellStyle name="style1358256383127 2 3 2 2" xfId="1580" xr:uid="{00000000-0005-0000-0000-000047080000}"/>
    <cellStyle name="style1358256383127 2 3 2 2 2" xfId="2600" xr:uid="{00000000-0005-0000-0000-000048080000}"/>
    <cellStyle name="style1358256383127 2 3 2 3" xfId="2599" xr:uid="{00000000-0005-0000-0000-000049080000}"/>
    <cellStyle name="style1358256383127 2 3 3" xfId="1579" xr:uid="{00000000-0005-0000-0000-00004A080000}"/>
    <cellStyle name="style1358256383127 2 3 3 2" xfId="2601" xr:uid="{00000000-0005-0000-0000-00004B080000}"/>
    <cellStyle name="style1358256383127 2 3 4" xfId="2598" xr:uid="{00000000-0005-0000-0000-00004C080000}"/>
    <cellStyle name="style1358256383127 2 4" xfId="466" xr:uid="{00000000-0005-0000-0000-00004D080000}"/>
    <cellStyle name="style1358256383127 2 4 2" xfId="1581" xr:uid="{00000000-0005-0000-0000-00004E080000}"/>
    <cellStyle name="style1358256383127 2 4 2 2" xfId="2603" xr:uid="{00000000-0005-0000-0000-00004F080000}"/>
    <cellStyle name="style1358256383127 2 4 3" xfId="2602" xr:uid="{00000000-0005-0000-0000-000050080000}"/>
    <cellStyle name="style1358256383127 2 5" xfId="721" xr:uid="{00000000-0005-0000-0000-000051080000}"/>
    <cellStyle name="style1358256383127 2 5 2" xfId="1582" xr:uid="{00000000-0005-0000-0000-000052080000}"/>
    <cellStyle name="style1358256383127 2 5 2 2" xfId="2605" xr:uid="{00000000-0005-0000-0000-000053080000}"/>
    <cellStyle name="style1358256383127 2 5 3" xfId="2604" xr:uid="{00000000-0005-0000-0000-000054080000}"/>
    <cellStyle name="style1358256383127 2 6" xfId="1574" xr:uid="{00000000-0005-0000-0000-000055080000}"/>
    <cellStyle name="style1358256383127 2 6 2" xfId="2606" xr:uid="{00000000-0005-0000-0000-000056080000}"/>
    <cellStyle name="style1358256383127 2 7" xfId="2589" xr:uid="{00000000-0005-0000-0000-000057080000}"/>
    <cellStyle name="style1358256383127 3" xfId="467" xr:uid="{00000000-0005-0000-0000-000058080000}"/>
    <cellStyle name="style1358256383127 3 2" xfId="468" xr:uid="{00000000-0005-0000-0000-000059080000}"/>
    <cellStyle name="style1358256383127 3 2 2" xfId="469" xr:uid="{00000000-0005-0000-0000-00005A080000}"/>
    <cellStyle name="style1358256383127 3 2 2 2" xfId="1585" xr:uid="{00000000-0005-0000-0000-00005B080000}"/>
    <cellStyle name="style1358256383127 3 2 2 2 2" xfId="2610" xr:uid="{00000000-0005-0000-0000-00005C080000}"/>
    <cellStyle name="style1358256383127 3 2 2 3" xfId="2609" xr:uid="{00000000-0005-0000-0000-00005D080000}"/>
    <cellStyle name="style1358256383127 3 2 3" xfId="1584" xr:uid="{00000000-0005-0000-0000-00005E080000}"/>
    <cellStyle name="style1358256383127 3 2 3 2" xfId="2611" xr:uid="{00000000-0005-0000-0000-00005F080000}"/>
    <cellStyle name="style1358256383127 3 2 4" xfId="2608" xr:uid="{00000000-0005-0000-0000-000060080000}"/>
    <cellStyle name="style1358256383127 3 3" xfId="470" xr:uid="{00000000-0005-0000-0000-000061080000}"/>
    <cellStyle name="style1358256383127 3 3 2" xfId="1586" xr:uid="{00000000-0005-0000-0000-000062080000}"/>
    <cellStyle name="style1358256383127 3 3 2 2" xfId="2613" xr:uid="{00000000-0005-0000-0000-000063080000}"/>
    <cellStyle name="style1358256383127 3 3 3" xfId="2612" xr:uid="{00000000-0005-0000-0000-000064080000}"/>
    <cellStyle name="style1358256383127 3 4" xfId="1583" xr:uid="{00000000-0005-0000-0000-000065080000}"/>
    <cellStyle name="style1358256383127 3 4 2" xfId="2614" xr:uid="{00000000-0005-0000-0000-000066080000}"/>
    <cellStyle name="style1358256383127 3 5" xfId="2607" xr:uid="{00000000-0005-0000-0000-000067080000}"/>
    <cellStyle name="style1358256383127 4" xfId="471" xr:uid="{00000000-0005-0000-0000-000068080000}"/>
    <cellStyle name="style1358256383127 4 2" xfId="472" xr:uid="{00000000-0005-0000-0000-000069080000}"/>
    <cellStyle name="style1358256383127 4 2 2" xfId="1588" xr:uid="{00000000-0005-0000-0000-00006A080000}"/>
    <cellStyle name="style1358256383127 4 2 2 2" xfId="2617" xr:uid="{00000000-0005-0000-0000-00006B080000}"/>
    <cellStyle name="style1358256383127 4 2 3" xfId="2616" xr:uid="{00000000-0005-0000-0000-00006C080000}"/>
    <cellStyle name="style1358256383127 4 3" xfId="1587" xr:uid="{00000000-0005-0000-0000-00006D080000}"/>
    <cellStyle name="style1358256383127 4 3 2" xfId="2618" xr:uid="{00000000-0005-0000-0000-00006E080000}"/>
    <cellStyle name="style1358256383127 4 4" xfId="2615" xr:uid="{00000000-0005-0000-0000-00006F080000}"/>
    <cellStyle name="style1358256383127 5" xfId="473" xr:uid="{00000000-0005-0000-0000-000070080000}"/>
    <cellStyle name="style1358256383127 5 2" xfId="1589" xr:uid="{00000000-0005-0000-0000-000071080000}"/>
    <cellStyle name="style1358256383127 5 2 2" xfId="2620" xr:uid="{00000000-0005-0000-0000-000072080000}"/>
    <cellStyle name="style1358256383127 5 3" xfId="2619" xr:uid="{00000000-0005-0000-0000-000073080000}"/>
    <cellStyle name="style1358256383127 6" xfId="1202" xr:uid="{00000000-0005-0000-0000-000074080000}"/>
    <cellStyle name="style1358256383127 6 2" xfId="2621" xr:uid="{00000000-0005-0000-0000-000075080000}"/>
    <cellStyle name="style1358256383127 7" xfId="1203" xr:uid="{00000000-0005-0000-0000-000076080000}"/>
    <cellStyle name="style1358256383127 7 2" xfId="2622" xr:uid="{00000000-0005-0000-0000-000077080000}"/>
    <cellStyle name="style1358256383127 8" xfId="1204" xr:uid="{00000000-0005-0000-0000-000078080000}"/>
    <cellStyle name="style1358256383127 8 2" xfId="2623" xr:uid="{00000000-0005-0000-0000-000079080000}"/>
    <cellStyle name="style1358256383127 9" xfId="1205" xr:uid="{00000000-0005-0000-0000-00007A080000}"/>
    <cellStyle name="style1358256383127 9 2" xfId="2624" xr:uid="{00000000-0005-0000-0000-00007B080000}"/>
    <cellStyle name="style1358256383164" xfId="474" xr:uid="{00000000-0005-0000-0000-00007C080000}"/>
    <cellStyle name="style1358256383164 2" xfId="475" xr:uid="{00000000-0005-0000-0000-00007D080000}"/>
    <cellStyle name="style1358256383164 2 2" xfId="476" xr:uid="{00000000-0005-0000-0000-00007E080000}"/>
    <cellStyle name="style1358256383164 2 2 2" xfId="477" xr:uid="{00000000-0005-0000-0000-00007F080000}"/>
    <cellStyle name="style1358256383164 2 2 2 2" xfId="1593" xr:uid="{00000000-0005-0000-0000-000080080000}"/>
    <cellStyle name="style1358256383164 2 2 2 2 2" xfId="2629" xr:uid="{00000000-0005-0000-0000-000081080000}"/>
    <cellStyle name="style1358256383164 2 2 2 3" xfId="2628" xr:uid="{00000000-0005-0000-0000-000082080000}"/>
    <cellStyle name="style1358256383164 2 2 3" xfId="1592" xr:uid="{00000000-0005-0000-0000-000083080000}"/>
    <cellStyle name="style1358256383164 2 2 3 2" xfId="2630" xr:uid="{00000000-0005-0000-0000-000084080000}"/>
    <cellStyle name="style1358256383164 2 2 4" xfId="2627" xr:uid="{00000000-0005-0000-0000-000085080000}"/>
    <cellStyle name="style1358256383164 2 3" xfId="478" xr:uid="{00000000-0005-0000-0000-000086080000}"/>
    <cellStyle name="style1358256383164 2 3 2" xfId="1594" xr:uid="{00000000-0005-0000-0000-000087080000}"/>
    <cellStyle name="style1358256383164 2 3 2 2" xfId="2632" xr:uid="{00000000-0005-0000-0000-000088080000}"/>
    <cellStyle name="style1358256383164 2 3 3" xfId="2631" xr:uid="{00000000-0005-0000-0000-000089080000}"/>
    <cellStyle name="style1358256383164 2 4" xfId="1591" xr:uid="{00000000-0005-0000-0000-00008A080000}"/>
    <cellStyle name="style1358256383164 2 4 2" xfId="2633" xr:uid="{00000000-0005-0000-0000-00008B080000}"/>
    <cellStyle name="style1358256383164 2 5" xfId="2626" xr:uid="{00000000-0005-0000-0000-00008C080000}"/>
    <cellStyle name="style1358256383164 3" xfId="479" xr:uid="{00000000-0005-0000-0000-00008D080000}"/>
    <cellStyle name="style1358256383164 3 2" xfId="480" xr:uid="{00000000-0005-0000-0000-00008E080000}"/>
    <cellStyle name="style1358256383164 3 2 2" xfId="1596" xr:uid="{00000000-0005-0000-0000-00008F080000}"/>
    <cellStyle name="style1358256383164 3 2 2 2" xfId="2636" xr:uid="{00000000-0005-0000-0000-000090080000}"/>
    <cellStyle name="style1358256383164 3 2 3" xfId="2635" xr:uid="{00000000-0005-0000-0000-000091080000}"/>
    <cellStyle name="style1358256383164 3 3" xfId="1595" xr:uid="{00000000-0005-0000-0000-000092080000}"/>
    <cellStyle name="style1358256383164 3 3 2" xfId="2637" xr:uid="{00000000-0005-0000-0000-000093080000}"/>
    <cellStyle name="style1358256383164 3 4" xfId="2634" xr:uid="{00000000-0005-0000-0000-000094080000}"/>
    <cellStyle name="style1358256383164 4" xfId="481" xr:uid="{00000000-0005-0000-0000-000095080000}"/>
    <cellStyle name="style1358256383164 4 2" xfId="1597" xr:uid="{00000000-0005-0000-0000-000096080000}"/>
    <cellStyle name="style1358256383164 4 2 2" xfId="2639" xr:uid="{00000000-0005-0000-0000-000097080000}"/>
    <cellStyle name="style1358256383164 4 3" xfId="2638" xr:uid="{00000000-0005-0000-0000-000098080000}"/>
    <cellStyle name="style1358256383164 5" xfId="1590" xr:uid="{00000000-0005-0000-0000-000099080000}"/>
    <cellStyle name="style1358256383164 5 2" xfId="2640" xr:uid="{00000000-0005-0000-0000-00009A080000}"/>
    <cellStyle name="style1358256383164 6" xfId="2625" xr:uid="{00000000-0005-0000-0000-00009B080000}"/>
    <cellStyle name="style1358256383199" xfId="482" xr:uid="{00000000-0005-0000-0000-00009C080000}"/>
    <cellStyle name="style1358256383199 2" xfId="483" xr:uid="{00000000-0005-0000-0000-00009D080000}"/>
    <cellStyle name="style1358256383199 2 2" xfId="484" xr:uid="{00000000-0005-0000-0000-00009E080000}"/>
    <cellStyle name="style1358256383199 2 2 2" xfId="485" xr:uid="{00000000-0005-0000-0000-00009F080000}"/>
    <cellStyle name="style1358256383199 2 2 2 2" xfId="1601" xr:uid="{00000000-0005-0000-0000-0000A0080000}"/>
    <cellStyle name="style1358256383199 2 2 2 2 2" xfId="2645" xr:uid="{00000000-0005-0000-0000-0000A1080000}"/>
    <cellStyle name="style1358256383199 2 2 2 3" xfId="2644" xr:uid="{00000000-0005-0000-0000-0000A2080000}"/>
    <cellStyle name="style1358256383199 2 2 3" xfId="1600" xr:uid="{00000000-0005-0000-0000-0000A3080000}"/>
    <cellStyle name="style1358256383199 2 2 3 2" xfId="2646" xr:uid="{00000000-0005-0000-0000-0000A4080000}"/>
    <cellStyle name="style1358256383199 2 2 4" xfId="2643" xr:uid="{00000000-0005-0000-0000-0000A5080000}"/>
    <cellStyle name="style1358256383199 2 3" xfId="486" xr:uid="{00000000-0005-0000-0000-0000A6080000}"/>
    <cellStyle name="style1358256383199 2 3 2" xfId="1602" xr:uid="{00000000-0005-0000-0000-0000A7080000}"/>
    <cellStyle name="style1358256383199 2 3 2 2" xfId="2648" xr:uid="{00000000-0005-0000-0000-0000A8080000}"/>
    <cellStyle name="style1358256383199 2 3 3" xfId="2647" xr:uid="{00000000-0005-0000-0000-0000A9080000}"/>
    <cellStyle name="style1358256383199 2 4" xfId="1599" xr:uid="{00000000-0005-0000-0000-0000AA080000}"/>
    <cellStyle name="style1358256383199 2 4 2" xfId="2649" xr:uid="{00000000-0005-0000-0000-0000AB080000}"/>
    <cellStyle name="style1358256383199 2 5" xfId="2642" xr:uid="{00000000-0005-0000-0000-0000AC080000}"/>
    <cellStyle name="style1358256383199 3" xfId="487" xr:uid="{00000000-0005-0000-0000-0000AD080000}"/>
    <cellStyle name="style1358256383199 3 2" xfId="488" xr:uid="{00000000-0005-0000-0000-0000AE080000}"/>
    <cellStyle name="style1358256383199 3 2 2" xfId="1604" xr:uid="{00000000-0005-0000-0000-0000AF080000}"/>
    <cellStyle name="style1358256383199 3 2 2 2" xfId="2652" xr:uid="{00000000-0005-0000-0000-0000B0080000}"/>
    <cellStyle name="style1358256383199 3 2 3" xfId="2651" xr:uid="{00000000-0005-0000-0000-0000B1080000}"/>
    <cellStyle name="style1358256383199 3 3" xfId="1603" xr:uid="{00000000-0005-0000-0000-0000B2080000}"/>
    <cellStyle name="style1358256383199 3 3 2" xfId="2653" xr:uid="{00000000-0005-0000-0000-0000B3080000}"/>
    <cellStyle name="style1358256383199 3 4" xfId="2650" xr:uid="{00000000-0005-0000-0000-0000B4080000}"/>
    <cellStyle name="style1358256383199 4" xfId="489" xr:uid="{00000000-0005-0000-0000-0000B5080000}"/>
    <cellStyle name="style1358256383199 4 2" xfId="1605" xr:uid="{00000000-0005-0000-0000-0000B6080000}"/>
    <cellStyle name="style1358256383199 4 2 2" xfId="2655" xr:uid="{00000000-0005-0000-0000-0000B7080000}"/>
    <cellStyle name="style1358256383199 4 3" xfId="2654" xr:uid="{00000000-0005-0000-0000-0000B8080000}"/>
    <cellStyle name="style1358256383199 5" xfId="1598" xr:uid="{00000000-0005-0000-0000-0000B9080000}"/>
    <cellStyle name="style1358256383199 5 2" xfId="2656" xr:uid="{00000000-0005-0000-0000-0000BA080000}"/>
    <cellStyle name="style1358256383199 6" xfId="2641" xr:uid="{00000000-0005-0000-0000-0000BB080000}"/>
    <cellStyle name="style1358256383234" xfId="490" xr:uid="{00000000-0005-0000-0000-0000BC080000}"/>
    <cellStyle name="style1358256383234 2" xfId="491" xr:uid="{00000000-0005-0000-0000-0000BD080000}"/>
    <cellStyle name="style1358256383234 2 2" xfId="492" xr:uid="{00000000-0005-0000-0000-0000BE080000}"/>
    <cellStyle name="style1358256383234 2 2 2" xfId="493" xr:uid="{00000000-0005-0000-0000-0000BF080000}"/>
    <cellStyle name="style1358256383234 2 2 2 2" xfId="1609" xr:uid="{00000000-0005-0000-0000-0000C0080000}"/>
    <cellStyle name="style1358256383234 2 2 2 2 2" xfId="2661" xr:uid="{00000000-0005-0000-0000-0000C1080000}"/>
    <cellStyle name="style1358256383234 2 2 2 3" xfId="2660" xr:uid="{00000000-0005-0000-0000-0000C2080000}"/>
    <cellStyle name="style1358256383234 2 2 3" xfId="1608" xr:uid="{00000000-0005-0000-0000-0000C3080000}"/>
    <cellStyle name="style1358256383234 2 2 3 2" xfId="2662" xr:uid="{00000000-0005-0000-0000-0000C4080000}"/>
    <cellStyle name="style1358256383234 2 2 4" xfId="2659" xr:uid="{00000000-0005-0000-0000-0000C5080000}"/>
    <cellStyle name="style1358256383234 2 3" xfId="494" xr:uid="{00000000-0005-0000-0000-0000C6080000}"/>
    <cellStyle name="style1358256383234 2 3 2" xfId="1610" xr:uid="{00000000-0005-0000-0000-0000C7080000}"/>
    <cellStyle name="style1358256383234 2 3 2 2" xfId="2664" xr:uid="{00000000-0005-0000-0000-0000C8080000}"/>
    <cellStyle name="style1358256383234 2 3 3" xfId="2663" xr:uid="{00000000-0005-0000-0000-0000C9080000}"/>
    <cellStyle name="style1358256383234 2 4" xfId="1607" xr:uid="{00000000-0005-0000-0000-0000CA080000}"/>
    <cellStyle name="style1358256383234 2 4 2" xfId="2665" xr:uid="{00000000-0005-0000-0000-0000CB080000}"/>
    <cellStyle name="style1358256383234 2 5" xfId="2658" xr:uid="{00000000-0005-0000-0000-0000CC080000}"/>
    <cellStyle name="style1358256383234 3" xfId="495" xr:uid="{00000000-0005-0000-0000-0000CD080000}"/>
    <cellStyle name="style1358256383234 3 2" xfId="496" xr:uid="{00000000-0005-0000-0000-0000CE080000}"/>
    <cellStyle name="style1358256383234 3 2 2" xfId="1612" xr:uid="{00000000-0005-0000-0000-0000CF080000}"/>
    <cellStyle name="style1358256383234 3 2 2 2" xfId="2668" xr:uid="{00000000-0005-0000-0000-0000D0080000}"/>
    <cellStyle name="style1358256383234 3 2 3" xfId="2667" xr:uid="{00000000-0005-0000-0000-0000D1080000}"/>
    <cellStyle name="style1358256383234 3 3" xfId="1611" xr:uid="{00000000-0005-0000-0000-0000D2080000}"/>
    <cellStyle name="style1358256383234 3 3 2" xfId="2669" xr:uid="{00000000-0005-0000-0000-0000D3080000}"/>
    <cellStyle name="style1358256383234 3 4" xfId="2666" xr:uid="{00000000-0005-0000-0000-0000D4080000}"/>
    <cellStyle name="style1358256383234 4" xfId="497" xr:uid="{00000000-0005-0000-0000-0000D5080000}"/>
    <cellStyle name="style1358256383234 4 2" xfId="1613" xr:uid="{00000000-0005-0000-0000-0000D6080000}"/>
    <cellStyle name="style1358256383234 4 2 2" xfId="2671" xr:uid="{00000000-0005-0000-0000-0000D7080000}"/>
    <cellStyle name="style1358256383234 4 3" xfId="2670" xr:uid="{00000000-0005-0000-0000-0000D8080000}"/>
    <cellStyle name="style1358256383234 5" xfId="1606" xr:uid="{00000000-0005-0000-0000-0000D9080000}"/>
    <cellStyle name="style1358256383234 5 2" xfId="2672" xr:uid="{00000000-0005-0000-0000-0000DA080000}"/>
    <cellStyle name="style1358256383234 6" xfId="2657" xr:uid="{00000000-0005-0000-0000-0000DB080000}"/>
    <cellStyle name="style1358256383274" xfId="498" xr:uid="{00000000-0005-0000-0000-0000DC080000}"/>
    <cellStyle name="style1358256383274 2" xfId="499" xr:uid="{00000000-0005-0000-0000-0000DD080000}"/>
    <cellStyle name="style1358256383274 2 2" xfId="500" xr:uid="{00000000-0005-0000-0000-0000DE080000}"/>
    <cellStyle name="style1358256383274 2 2 2" xfId="501" xr:uid="{00000000-0005-0000-0000-0000DF080000}"/>
    <cellStyle name="style1358256383274 2 2 2 2" xfId="1617" xr:uid="{00000000-0005-0000-0000-0000E0080000}"/>
    <cellStyle name="style1358256383274 2 2 2 2 2" xfId="2677" xr:uid="{00000000-0005-0000-0000-0000E1080000}"/>
    <cellStyle name="style1358256383274 2 2 2 3" xfId="2676" xr:uid="{00000000-0005-0000-0000-0000E2080000}"/>
    <cellStyle name="style1358256383274 2 2 3" xfId="1616" xr:uid="{00000000-0005-0000-0000-0000E3080000}"/>
    <cellStyle name="style1358256383274 2 2 3 2" xfId="2678" xr:uid="{00000000-0005-0000-0000-0000E4080000}"/>
    <cellStyle name="style1358256383274 2 2 4" xfId="2675" xr:uid="{00000000-0005-0000-0000-0000E5080000}"/>
    <cellStyle name="style1358256383274 2 3" xfId="502" xr:uid="{00000000-0005-0000-0000-0000E6080000}"/>
    <cellStyle name="style1358256383274 2 3 2" xfId="1618" xr:uid="{00000000-0005-0000-0000-0000E7080000}"/>
    <cellStyle name="style1358256383274 2 3 2 2" xfId="2680" xr:uid="{00000000-0005-0000-0000-0000E8080000}"/>
    <cellStyle name="style1358256383274 2 3 3" xfId="2679" xr:uid="{00000000-0005-0000-0000-0000E9080000}"/>
    <cellStyle name="style1358256383274 2 4" xfId="1615" xr:uid="{00000000-0005-0000-0000-0000EA080000}"/>
    <cellStyle name="style1358256383274 2 4 2" xfId="2681" xr:uid="{00000000-0005-0000-0000-0000EB080000}"/>
    <cellStyle name="style1358256383274 2 5" xfId="2674" xr:uid="{00000000-0005-0000-0000-0000EC080000}"/>
    <cellStyle name="style1358256383274 3" xfId="503" xr:uid="{00000000-0005-0000-0000-0000ED080000}"/>
    <cellStyle name="style1358256383274 3 2" xfId="504" xr:uid="{00000000-0005-0000-0000-0000EE080000}"/>
    <cellStyle name="style1358256383274 3 2 2" xfId="1620" xr:uid="{00000000-0005-0000-0000-0000EF080000}"/>
    <cellStyle name="style1358256383274 3 2 2 2" xfId="2684" xr:uid="{00000000-0005-0000-0000-0000F0080000}"/>
    <cellStyle name="style1358256383274 3 2 3" xfId="2683" xr:uid="{00000000-0005-0000-0000-0000F1080000}"/>
    <cellStyle name="style1358256383274 3 3" xfId="1619" xr:uid="{00000000-0005-0000-0000-0000F2080000}"/>
    <cellStyle name="style1358256383274 3 3 2" xfId="2685" xr:uid="{00000000-0005-0000-0000-0000F3080000}"/>
    <cellStyle name="style1358256383274 3 4" xfId="2682" xr:uid="{00000000-0005-0000-0000-0000F4080000}"/>
    <cellStyle name="style1358256383274 4" xfId="505" xr:uid="{00000000-0005-0000-0000-0000F5080000}"/>
    <cellStyle name="style1358256383274 4 2" xfId="1621" xr:uid="{00000000-0005-0000-0000-0000F6080000}"/>
    <cellStyle name="style1358256383274 4 2 2" xfId="2687" xr:uid="{00000000-0005-0000-0000-0000F7080000}"/>
    <cellStyle name="style1358256383274 4 3" xfId="2686" xr:uid="{00000000-0005-0000-0000-0000F8080000}"/>
    <cellStyle name="style1358256383274 5" xfId="1614" xr:uid="{00000000-0005-0000-0000-0000F9080000}"/>
    <cellStyle name="style1358256383274 5 2" xfId="2688" xr:uid="{00000000-0005-0000-0000-0000FA080000}"/>
    <cellStyle name="style1358256383274 6" xfId="2673" xr:uid="{00000000-0005-0000-0000-0000FB080000}"/>
    <cellStyle name="style1358256383338" xfId="506" xr:uid="{00000000-0005-0000-0000-0000FC080000}"/>
    <cellStyle name="style1358256383338 2" xfId="507" xr:uid="{00000000-0005-0000-0000-0000FD080000}"/>
    <cellStyle name="style1358256383338 2 2" xfId="508" xr:uid="{00000000-0005-0000-0000-0000FE080000}"/>
    <cellStyle name="style1358256383338 2 2 2" xfId="509" xr:uid="{00000000-0005-0000-0000-0000FF080000}"/>
    <cellStyle name="style1358256383338 2 2 2 2" xfId="1625" xr:uid="{00000000-0005-0000-0000-000000090000}"/>
    <cellStyle name="style1358256383338 2 2 2 2 2" xfId="2693" xr:uid="{00000000-0005-0000-0000-000001090000}"/>
    <cellStyle name="style1358256383338 2 2 2 3" xfId="2692" xr:uid="{00000000-0005-0000-0000-000002090000}"/>
    <cellStyle name="style1358256383338 2 2 3" xfId="1624" xr:uid="{00000000-0005-0000-0000-000003090000}"/>
    <cellStyle name="style1358256383338 2 2 3 2" xfId="2694" xr:uid="{00000000-0005-0000-0000-000004090000}"/>
    <cellStyle name="style1358256383338 2 2 4" xfId="2691" xr:uid="{00000000-0005-0000-0000-000005090000}"/>
    <cellStyle name="style1358256383338 2 3" xfId="510" xr:uid="{00000000-0005-0000-0000-000006090000}"/>
    <cellStyle name="style1358256383338 2 3 2" xfId="1626" xr:uid="{00000000-0005-0000-0000-000007090000}"/>
    <cellStyle name="style1358256383338 2 3 2 2" xfId="2696" xr:uid="{00000000-0005-0000-0000-000008090000}"/>
    <cellStyle name="style1358256383338 2 3 3" xfId="2695" xr:uid="{00000000-0005-0000-0000-000009090000}"/>
    <cellStyle name="style1358256383338 2 4" xfId="1623" xr:uid="{00000000-0005-0000-0000-00000A090000}"/>
    <cellStyle name="style1358256383338 2 4 2" xfId="2697" xr:uid="{00000000-0005-0000-0000-00000B090000}"/>
    <cellStyle name="style1358256383338 2 5" xfId="2690" xr:uid="{00000000-0005-0000-0000-00000C090000}"/>
    <cellStyle name="style1358256383338 3" xfId="511" xr:uid="{00000000-0005-0000-0000-00000D090000}"/>
    <cellStyle name="style1358256383338 3 2" xfId="512" xr:uid="{00000000-0005-0000-0000-00000E090000}"/>
    <cellStyle name="style1358256383338 3 2 2" xfId="1628" xr:uid="{00000000-0005-0000-0000-00000F090000}"/>
    <cellStyle name="style1358256383338 3 2 2 2" xfId="2700" xr:uid="{00000000-0005-0000-0000-000010090000}"/>
    <cellStyle name="style1358256383338 3 2 3" xfId="2699" xr:uid="{00000000-0005-0000-0000-000011090000}"/>
    <cellStyle name="style1358256383338 3 3" xfId="1627" xr:uid="{00000000-0005-0000-0000-000012090000}"/>
    <cellStyle name="style1358256383338 3 3 2" xfId="2701" xr:uid="{00000000-0005-0000-0000-000013090000}"/>
    <cellStyle name="style1358256383338 3 4" xfId="2698" xr:uid="{00000000-0005-0000-0000-000014090000}"/>
    <cellStyle name="style1358256383338 4" xfId="513" xr:uid="{00000000-0005-0000-0000-000015090000}"/>
    <cellStyle name="style1358256383338 4 2" xfId="1629" xr:uid="{00000000-0005-0000-0000-000016090000}"/>
    <cellStyle name="style1358256383338 4 2 2" xfId="2703" xr:uid="{00000000-0005-0000-0000-000017090000}"/>
    <cellStyle name="style1358256383338 4 3" xfId="2702" xr:uid="{00000000-0005-0000-0000-000018090000}"/>
    <cellStyle name="style1358256383338 5" xfId="1622" xr:uid="{00000000-0005-0000-0000-000019090000}"/>
    <cellStyle name="style1358256383338 5 2" xfId="2704" xr:uid="{00000000-0005-0000-0000-00001A090000}"/>
    <cellStyle name="style1358256383338 6" xfId="2689" xr:uid="{00000000-0005-0000-0000-00001B090000}"/>
    <cellStyle name="style1358256383374" xfId="514" xr:uid="{00000000-0005-0000-0000-00001C090000}"/>
    <cellStyle name="style1358256383374 10" xfId="1206" xr:uid="{00000000-0005-0000-0000-00001D090000}"/>
    <cellStyle name="style1358256383374 10 2" xfId="2706" xr:uid="{00000000-0005-0000-0000-00001E090000}"/>
    <cellStyle name="style1358256383374 11" xfId="1207" xr:uid="{00000000-0005-0000-0000-00001F090000}"/>
    <cellStyle name="style1358256383374 11 2" xfId="2707" xr:uid="{00000000-0005-0000-0000-000020090000}"/>
    <cellStyle name="style1358256383374 12" xfId="1208" xr:uid="{00000000-0005-0000-0000-000021090000}"/>
    <cellStyle name="style1358256383374 12 2" xfId="2708" xr:uid="{00000000-0005-0000-0000-000022090000}"/>
    <cellStyle name="style1358256383374 13" xfId="1209" xr:uid="{00000000-0005-0000-0000-000023090000}"/>
    <cellStyle name="style1358256383374 13 2" xfId="2709" xr:uid="{00000000-0005-0000-0000-000024090000}"/>
    <cellStyle name="style1358256383374 14" xfId="1210" xr:uid="{00000000-0005-0000-0000-000025090000}"/>
    <cellStyle name="style1358256383374 14 2" xfId="2710" xr:uid="{00000000-0005-0000-0000-000026090000}"/>
    <cellStyle name="style1358256383374 15" xfId="1211" xr:uid="{00000000-0005-0000-0000-000027090000}"/>
    <cellStyle name="style1358256383374 15 2" xfId="2711" xr:uid="{00000000-0005-0000-0000-000028090000}"/>
    <cellStyle name="style1358256383374 16" xfId="1630" xr:uid="{00000000-0005-0000-0000-000029090000}"/>
    <cellStyle name="style1358256383374 16 2" xfId="2712" xr:uid="{00000000-0005-0000-0000-00002A090000}"/>
    <cellStyle name="style1358256383374 17" xfId="2705" xr:uid="{00000000-0005-0000-0000-00002B090000}"/>
    <cellStyle name="style1358256383374 2" xfId="515" xr:uid="{00000000-0005-0000-0000-00002C090000}"/>
    <cellStyle name="style1358256383374 2 10" xfId="1212" xr:uid="{00000000-0005-0000-0000-00002D090000}"/>
    <cellStyle name="style1358256383374 2 10 2" xfId="2714" xr:uid="{00000000-0005-0000-0000-00002E090000}"/>
    <cellStyle name="style1358256383374 2 11" xfId="1213" xr:uid="{00000000-0005-0000-0000-00002F090000}"/>
    <cellStyle name="style1358256383374 2 11 2" xfId="2715" xr:uid="{00000000-0005-0000-0000-000030090000}"/>
    <cellStyle name="style1358256383374 2 12" xfId="1214" xr:uid="{00000000-0005-0000-0000-000031090000}"/>
    <cellStyle name="style1358256383374 2 12 2" xfId="2716" xr:uid="{00000000-0005-0000-0000-000032090000}"/>
    <cellStyle name="style1358256383374 2 13" xfId="1215" xr:uid="{00000000-0005-0000-0000-000033090000}"/>
    <cellStyle name="style1358256383374 2 13 2" xfId="2717" xr:uid="{00000000-0005-0000-0000-000034090000}"/>
    <cellStyle name="style1358256383374 2 14" xfId="1216" xr:uid="{00000000-0005-0000-0000-000035090000}"/>
    <cellStyle name="style1358256383374 2 14 2" xfId="2718" xr:uid="{00000000-0005-0000-0000-000036090000}"/>
    <cellStyle name="style1358256383374 2 15" xfId="1631" xr:uid="{00000000-0005-0000-0000-000037090000}"/>
    <cellStyle name="style1358256383374 2 15 2" xfId="2719" xr:uid="{00000000-0005-0000-0000-000038090000}"/>
    <cellStyle name="style1358256383374 2 16" xfId="2713" xr:uid="{00000000-0005-0000-0000-000039090000}"/>
    <cellStyle name="style1358256383374 2 2" xfId="516" xr:uid="{00000000-0005-0000-0000-00003A090000}"/>
    <cellStyle name="style1358256383374 2 2 2" xfId="517" xr:uid="{00000000-0005-0000-0000-00003B090000}"/>
    <cellStyle name="style1358256383374 2 2 2 2" xfId="518" xr:uid="{00000000-0005-0000-0000-00003C090000}"/>
    <cellStyle name="style1358256383374 2 2 2 2 2" xfId="1634" xr:uid="{00000000-0005-0000-0000-00003D090000}"/>
    <cellStyle name="style1358256383374 2 2 2 2 2 2" xfId="2723" xr:uid="{00000000-0005-0000-0000-00003E090000}"/>
    <cellStyle name="style1358256383374 2 2 2 2 3" xfId="2722" xr:uid="{00000000-0005-0000-0000-00003F090000}"/>
    <cellStyle name="style1358256383374 2 2 2 3" xfId="1633" xr:uid="{00000000-0005-0000-0000-000040090000}"/>
    <cellStyle name="style1358256383374 2 2 2 3 2" xfId="2724" xr:uid="{00000000-0005-0000-0000-000041090000}"/>
    <cellStyle name="style1358256383374 2 2 2 4" xfId="2721" xr:uid="{00000000-0005-0000-0000-000042090000}"/>
    <cellStyle name="style1358256383374 2 2 3" xfId="519" xr:uid="{00000000-0005-0000-0000-000043090000}"/>
    <cellStyle name="style1358256383374 2 2 3 2" xfId="1635" xr:uid="{00000000-0005-0000-0000-000044090000}"/>
    <cellStyle name="style1358256383374 2 2 3 2 2" xfId="2726" xr:uid="{00000000-0005-0000-0000-000045090000}"/>
    <cellStyle name="style1358256383374 2 2 3 3" xfId="2725" xr:uid="{00000000-0005-0000-0000-000046090000}"/>
    <cellStyle name="style1358256383374 2 2 4" xfId="1632" xr:uid="{00000000-0005-0000-0000-000047090000}"/>
    <cellStyle name="style1358256383374 2 2 4 2" xfId="2727" xr:uid="{00000000-0005-0000-0000-000048090000}"/>
    <cellStyle name="style1358256383374 2 2 5" xfId="2720" xr:uid="{00000000-0005-0000-0000-000049090000}"/>
    <cellStyle name="style1358256383374 2 3" xfId="520" xr:uid="{00000000-0005-0000-0000-00004A090000}"/>
    <cellStyle name="style1358256383374 2 3 2" xfId="521" xr:uid="{00000000-0005-0000-0000-00004B090000}"/>
    <cellStyle name="style1358256383374 2 3 2 2" xfId="1637" xr:uid="{00000000-0005-0000-0000-00004C090000}"/>
    <cellStyle name="style1358256383374 2 3 2 2 2" xfId="2730" xr:uid="{00000000-0005-0000-0000-00004D090000}"/>
    <cellStyle name="style1358256383374 2 3 2 3" xfId="2729" xr:uid="{00000000-0005-0000-0000-00004E090000}"/>
    <cellStyle name="style1358256383374 2 3 3" xfId="1636" xr:uid="{00000000-0005-0000-0000-00004F090000}"/>
    <cellStyle name="style1358256383374 2 3 3 2" xfId="2731" xr:uid="{00000000-0005-0000-0000-000050090000}"/>
    <cellStyle name="style1358256383374 2 3 4" xfId="2728" xr:uid="{00000000-0005-0000-0000-000051090000}"/>
    <cellStyle name="style1358256383374 2 4" xfId="522" xr:uid="{00000000-0005-0000-0000-000052090000}"/>
    <cellStyle name="style1358256383374 2 4 2" xfId="1638" xr:uid="{00000000-0005-0000-0000-000053090000}"/>
    <cellStyle name="style1358256383374 2 4 2 2" xfId="2733" xr:uid="{00000000-0005-0000-0000-000054090000}"/>
    <cellStyle name="style1358256383374 2 4 3" xfId="2732" xr:uid="{00000000-0005-0000-0000-000055090000}"/>
    <cellStyle name="style1358256383374 2 5" xfId="723" xr:uid="{00000000-0005-0000-0000-000056090000}"/>
    <cellStyle name="style1358256383374 2 5 2" xfId="1639" xr:uid="{00000000-0005-0000-0000-000057090000}"/>
    <cellStyle name="style1358256383374 2 5 2 2" xfId="2735" xr:uid="{00000000-0005-0000-0000-000058090000}"/>
    <cellStyle name="style1358256383374 2 5 3" xfId="2734" xr:uid="{00000000-0005-0000-0000-000059090000}"/>
    <cellStyle name="style1358256383374 2 6" xfId="1217" xr:uid="{00000000-0005-0000-0000-00005A090000}"/>
    <cellStyle name="style1358256383374 2 6 2" xfId="2736" xr:uid="{00000000-0005-0000-0000-00005B090000}"/>
    <cellStyle name="style1358256383374 2 7" xfId="1218" xr:uid="{00000000-0005-0000-0000-00005C090000}"/>
    <cellStyle name="style1358256383374 2 7 2" xfId="2737" xr:uid="{00000000-0005-0000-0000-00005D090000}"/>
    <cellStyle name="style1358256383374 2 8" xfId="1219" xr:uid="{00000000-0005-0000-0000-00005E090000}"/>
    <cellStyle name="style1358256383374 2 8 2" xfId="2738" xr:uid="{00000000-0005-0000-0000-00005F090000}"/>
    <cellStyle name="style1358256383374 2 9" xfId="1220" xr:uid="{00000000-0005-0000-0000-000060090000}"/>
    <cellStyle name="style1358256383374 2 9 2" xfId="2739" xr:uid="{00000000-0005-0000-0000-000061090000}"/>
    <cellStyle name="style1358256383374 3" xfId="523" xr:uid="{00000000-0005-0000-0000-000062090000}"/>
    <cellStyle name="style1358256383374 3 2" xfId="524" xr:uid="{00000000-0005-0000-0000-000063090000}"/>
    <cellStyle name="style1358256383374 3 2 2" xfId="525" xr:uid="{00000000-0005-0000-0000-000064090000}"/>
    <cellStyle name="style1358256383374 3 2 2 2" xfId="1642" xr:uid="{00000000-0005-0000-0000-000065090000}"/>
    <cellStyle name="style1358256383374 3 2 2 2 2" xfId="2743" xr:uid="{00000000-0005-0000-0000-000066090000}"/>
    <cellStyle name="style1358256383374 3 2 2 3" xfId="2742" xr:uid="{00000000-0005-0000-0000-000067090000}"/>
    <cellStyle name="style1358256383374 3 2 3" xfId="1641" xr:uid="{00000000-0005-0000-0000-000068090000}"/>
    <cellStyle name="style1358256383374 3 2 3 2" xfId="2744" xr:uid="{00000000-0005-0000-0000-000069090000}"/>
    <cellStyle name="style1358256383374 3 2 4" xfId="2741" xr:uid="{00000000-0005-0000-0000-00006A090000}"/>
    <cellStyle name="style1358256383374 3 3" xfId="526" xr:uid="{00000000-0005-0000-0000-00006B090000}"/>
    <cellStyle name="style1358256383374 3 3 2" xfId="1643" xr:uid="{00000000-0005-0000-0000-00006C090000}"/>
    <cellStyle name="style1358256383374 3 3 2 2" xfId="2746" xr:uid="{00000000-0005-0000-0000-00006D090000}"/>
    <cellStyle name="style1358256383374 3 3 3" xfId="2745" xr:uid="{00000000-0005-0000-0000-00006E090000}"/>
    <cellStyle name="style1358256383374 3 4" xfId="1640" xr:uid="{00000000-0005-0000-0000-00006F090000}"/>
    <cellStyle name="style1358256383374 3 4 2" xfId="2747" xr:uid="{00000000-0005-0000-0000-000070090000}"/>
    <cellStyle name="style1358256383374 3 5" xfId="2740" xr:uid="{00000000-0005-0000-0000-000071090000}"/>
    <cellStyle name="style1358256383374 4" xfId="527" xr:uid="{00000000-0005-0000-0000-000072090000}"/>
    <cellStyle name="style1358256383374 4 2" xfId="528" xr:uid="{00000000-0005-0000-0000-000073090000}"/>
    <cellStyle name="style1358256383374 4 2 2" xfId="1645" xr:uid="{00000000-0005-0000-0000-000074090000}"/>
    <cellStyle name="style1358256383374 4 2 2 2" xfId="2750" xr:uid="{00000000-0005-0000-0000-000075090000}"/>
    <cellStyle name="style1358256383374 4 2 3" xfId="2749" xr:uid="{00000000-0005-0000-0000-000076090000}"/>
    <cellStyle name="style1358256383374 4 3" xfId="1644" xr:uid="{00000000-0005-0000-0000-000077090000}"/>
    <cellStyle name="style1358256383374 4 3 2" xfId="2751" xr:uid="{00000000-0005-0000-0000-000078090000}"/>
    <cellStyle name="style1358256383374 4 4" xfId="2748" xr:uid="{00000000-0005-0000-0000-000079090000}"/>
    <cellStyle name="style1358256383374 5" xfId="529" xr:uid="{00000000-0005-0000-0000-00007A090000}"/>
    <cellStyle name="style1358256383374 5 2" xfId="1646" xr:uid="{00000000-0005-0000-0000-00007B090000}"/>
    <cellStyle name="style1358256383374 5 2 2" xfId="2753" xr:uid="{00000000-0005-0000-0000-00007C090000}"/>
    <cellStyle name="style1358256383374 5 3" xfId="2752" xr:uid="{00000000-0005-0000-0000-00007D090000}"/>
    <cellStyle name="style1358256383374 6" xfId="1221" xr:uid="{00000000-0005-0000-0000-00007E090000}"/>
    <cellStyle name="style1358256383374 6 2" xfId="2754" xr:uid="{00000000-0005-0000-0000-00007F090000}"/>
    <cellStyle name="style1358256383374 7" xfId="1222" xr:uid="{00000000-0005-0000-0000-000080090000}"/>
    <cellStyle name="style1358256383374 7 2" xfId="2755" xr:uid="{00000000-0005-0000-0000-000081090000}"/>
    <cellStyle name="style1358256383374 8" xfId="1223" xr:uid="{00000000-0005-0000-0000-000082090000}"/>
    <cellStyle name="style1358256383374 8 2" xfId="2756" xr:uid="{00000000-0005-0000-0000-000083090000}"/>
    <cellStyle name="style1358256383374 9" xfId="1224" xr:uid="{00000000-0005-0000-0000-000084090000}"/>
    <cellStyle name="style1358256383374 9 2" xfId="2757" xr:uid="{00000000-0005-0000-0000-000085090000}"/>
    <cellStyle name="style1358256383398" xfId="530" xr:uid="{00000000-0005-0000-0000-000086090000}"/>
    <cellStyle name="style1358256383398 2" xfId="531" xr:uid="{00000000-0005-0000-0000-000087090000}"/>
    <cellStyle name="style1358256383398 2 2" xfId="532" xr:uid="{00000000-0005-0000-0000-000088090000}"/>
    <cellStyle name="style1358256383398 2 2 2" xfId="533" xr:uid="{00000000-0005-0000-0000-000089090000}"/>
    <cellStyle name="style1358256383398 2 2 2 2" xfId="1650" xr:uid="{00000000-0005-0000-0000-00008A090000}"/>
    <cellStyle name="style1358256383398 2 2 2 2 2" xfId="2762" xr:uid="{00000000-0005-0000-0000-00008B090000}"/>
    <cellStyle name="style1358256383398 2 2 2 3" xfId="2761" xr:uid="{00000000-0005-0000-0000-00008C090000}"/>
    <cellStyle name="style1358256383398 2 2 3" xfId="1649" xr:uid="{00000000-0005-0000-0000-00008D090000}"/>
    <cellStyle name="style1358256383398 2 2 3 2" xfId="2763" xr:uid="{00000000-0005-0000-0000-00008E090000}"/>
    <cellStyle name="style1358256383398 2 2 4" xfId="2760" xr:uid="{00000000-0005-0000-0000-00008F090000}"/>
    <cellStyle name="style1358256383398 2 3" xfId="534" xr:uid="{00000000-0005-0000-0000-000090090000}"/>
    <cellStyle name="style1358256383398 2 3 2" xfId="1651" xr:uid="{00000000-0005-0000-0000-000091090000}"/>
    <cellStyle name="style1358256383398 2 3 2 2" xfId="2765" xr:uid="{00000000-0005-0000-0000-000092090000}"/>
    <cellStyle name="style1358256383398 2 3 3" xfId="2764" xr:uid="{00000000-0005-0000-0000-000093090000}"/>
    <cellStyle name="style1358256383398 2 4" xfId="1648" xr:uid="{00000000-0005-0000-0000-000094090000}"/>
    <cellStyle name="style1358256383398 2 4 2" xfId="2766" xr:uid="{00000000-0005-0000-0000-000095090000}"/>
    <cellStyle name="style1358256383398 2 5" xfId="2759" xr:uid="{00000000-0005-0000-0000-000096090000}"/>
    <cellStyle name="style1358256383398 3" xfId="535" xr:uid="{00000000-0005-0000-0000-000097090000}"/>
    <cellStyle name="style1358256383398 3 2" xfId="536" xr:uid="{00000000-0005-0000-0000-000098090000}"/>
    <cellStyle name="style1358256383398 3 2 2" xfId="1653" xr:uid="{00000000-0005-0000-0000-000099090000}"/>
    <cellStyle name="style1358256383398 3 2 2 2" xfId="2769" xr:uid="{00000000-0005-0000-0000-00009A090000}"/>
    <cellStyle name="style1358256383398 3 2 3" xfId="2768" xr:uid="{00000000-0005-0000-0000-00009B090000}"/>
    <cellStyle name="style1358256383398 3 3" xfId="1652" xr:uid="{00000000-0005-0000-0000-00009C090000}"/>
    <cellStyle name="style1358256383398 3 3 2" xfId="2770" xr:uid="{00000000-0005-0000-0000-00009D090000}"/>
    <cellStyle name="style1358256383398 3 4" xfId="2767" xr:uid="{00000000-0005-0000-0000-00009E090000}"/>
    <cellStyle name="style1358256383398 4" xfId="537" xr:uid="{00000000-0005-0000-0000-00009F090000}"/>
    <cellStyle name="style1358256383398 4 2" xfId="1654" xr:uid="{00000000-0005-0000-0000-0000A0090000}"/>
    <cellStyle name="style1358256383398 4 2 2" xfId="2772" xr:uid="{00000000-0005-0000-0000-0000A1090000}"/>
    <cellStyle name="style1358256383398 4 3" xfId="2771" xr:uid="{00000000-0005-0000-0000-0000A2090000}"/>
    <cellStyle name="style1358256383398 5" xfId="1647" xr:uid="{00000000-0005-0000-0000-0000A3090000}"/>
    <cellStyle name="style1358256383398 5 2" xfId="2773" xr:uid="{00000000-0005-0000-0000-0000A4090000}"/>
    <cellStyle name="style1358256383398 6" xfId="2758" xr:uid="{00000000-0005-0000-0000-0000A5090000}"/>
    <cellStyle name="style1358256383436" xfId="538" xr:uid="{00000000-0005-0000-0000-0000A6090000}"/>
    <cellStyle name="style1358256383436 2" xfId="539" xr:uid="{00000000-0005-0000-0000-0000A7090000}"/>
    <cellStyle name="style1358256383436 2 2" xfId="540" xr:uid="{00000000-0005-0000-0000-0000A8090000}"/>
    <cellStyle name="style1358256383436 2 2 2" xfId="541" xr:uid="{00000000-0005-0000-0000-0000A9090000}"/>
    <cellStyle name="style1358256383436 2 2 2 2" xfId="1658" xr:uid="{00000000-0005-0000-0000-0000AA090000}"/>
    <cellStyle name="style1358256383436 2 2 2 2 2" xfId="2778" xr:uid="{00000000-0005-0000-0000-0000AB090000}"/>
    <cellStyle name="style1358256383436 2 2 2 3" xfId="2777" xr:uid="{00000000-0005-0000-0000-0000AC090000}"/>
    <cellStyle name="style1358256383436 2 2 3" xfId="1657" xr:uid="{00000000-0005-0000-0000-0000AD090000}"/>
    <cellStyle name="style1358256383436 2 2 3 2" xfId="2779" xr:uid="{00000000-0005-0000-0000-0000AE090000}"/>
    <cellStyle name="style1358256383436 2 2 4" xfId="2776" xr:uid="{00000000-0005-0000-0000-0000AF090000}"/>
    <cellStyle name="style1358256383436 2 3" xfId="542" xr:uid="{00000000-0005-0000-0000-0000B0090000}"/>
    <cellStyle name="style1358256383436 2 3 2" xfId="1659" xr:uid="{00000000-0005-0000-0000-0000B1090000}"/>
    <cellStyle name="style1358256383436 2 3 2 2" xfId="2781" xr:uid="{00000000-0005-0000-0000-0000B2090000}"/>
    <cellStyle name="style1358256383436 2 3 3" xfId="2780" xr:uid="{00000000-0005-0000-0000-0000B3090000}"/>
    <cellStyle name="style1358256383436 2 4" xfId="1656" xr:uid="{00000000-0005-0000-0000-0000B4090000}"/>
    <cellStyle name="style1358256383436 2 4 2" xfId="2782" xr:uid="{00000000-0005-0000-0000-0000B5090000}"/>
    <cellStyle name="style1358256383436 2 5" xfId="2775" xr:uid="{00000000-0005-0000-0000-0000B6090000}"/>
    <cellStyle name="style1358256383436 3" xfId="543" xr:uid="{00000000-0005-0000-0000-0000B7090000}"/>
    <cellStyle name="style1358256383436 3 2" xfId="544" xr:uid="{00000000-0005-0000-0000-0000B8090000}"/>
    <cellStyle name="style1358256383436 3 2 2" xfId="1661" xr:uid="{00000000-0005-0000-0000-0000B9090000}"/>
    <cellStyle name="style1358256383436 3 2 2 2" xfId="2785" xr:uid="{00000000-0005-0000-0000-0000BA090000}"/>
    <cellStyle name="style1358256383436 3 2 3" xfId="2784" xr:uid="{00000000-0005-0000-0000-0000BB090000}"/>
    <cellStyle name="style1358256383436 3 3" xfId="1660" xr:uid="{00000000-0005-0000-0000-0000BC090000}"/>
    <cellStyle name="style1358256383436 3 3 2" xfId="2786" xr:uid="{00000000-0005-0000-0000-0000BD090000}"/>
    <cellStyle name="style1358256383436 3 4" xfId="2783" xr:uid="{00000000-0005-0000-0000-0000BE090000}"/>
    <cellStyle name="style1358256383436 4" xfId="545" xr:uid="{00000000-0005-0000-0000-0000BF090000}"/>
    <cellStyle name="style1358256383436 4 2" xfId="1662" xr:uid="{00000000-0005-0000-0000-0000C0090000}"/>
    <cellStyle name="style1358256383436 4 2 2" xfId="2788" xr:uid="{00000000-0005-0000-0000-0000C1090000}"/>
    <cellStyle name="style1358256383436 4 3" xfId="2787" xr:uid="{00000000-0005-0000-0000-0000C2090000}"/>
    <cellStyle name="style1358256383436 5" xfId="1655" xr:uid="{00000000-0005-0000-0000-0000C3090000}"/>
    <cellStyle name="style1358256383436 5 2" xfId="2789" xr:uid="{00000000-0005-0000-0000-0000C4090000}"/>
    <cellStyle name="style1358256383436 6" xfId="2774" xr:uid="{00000000-0005-0000-0000-0000C5090000}"/>
    <cellStyle name="style1358256383458" xfId="546" xr:uid="{00000000-0005-0000-0000-0000C6090000}"/>
    <cellStyle name="style1358256383458 2" xfId="547" xr:uid="{00000000-0005-0000-0000-0000C7090000}"/>
    <cellStyle name="style1358256383458 2 2" xfId="548" xr:uid="{00000000-0005-0000-0000-0000C8090000}"/>
    <cellStyle name="style1358256383458 2 2 2" xfId="549" xr:uid="{00000000-0005-0000-0000-0000C9090000}"/>
    <cellStyle name="style1358256383458 2 2 2 2" xfId="1666" xr:uid="{00000000-0005-0000-0000-0000CA090000}"/>
    <cellStyle name="style1358256383458 2 2 2 2 2" xfId="2794" xr:uid="{00000000-0005-0000-0000-0000CB090000}"/>
    <cellStyle name="style1358256383458 2 2 2 3" xfId="2793" xr:uid="{00000000-0005-0000-0000-0000CC090000}"/>
    <cellStyle name="style1358256383458 2 2 3" xfId="1665" xr:uid="{00000000-0005-0000-0000-0000CD090000}"/>
    <cellStyle name="style1358256383458 2 2 3 2" xfId="2795" xr:uid="{00000000-0005-0000-0000-0000CE090000}"/>
    <cellStyle name="style1358256383458 2 2 4" xfId="2792" xr:uid="{00000000-0005-0000-0000-0000CF090000}"/>
    <cellStyle name="style1358256383458 2 3" xfId="550" xr:uid="{00000000-0005-0000-0000-0000D0090000}"/>
    <cellStyle name="style1358256383458 2 3 2" xfId="1667" xr:uid="{00000000-0005-0000-0000-0000D1090000}"/>
    <cellStyle name="style1358256383458 2 3 2 2" xfId="2797" xr:uid="{00000000-0005-0000-0000-0000D2090000}"/>
    <cellStyle name="style1358256383458 2 3 3" xfId="2796" xr:uid="{00000000-0005-0000-0000-0000D3090000}"/>
    <cellStyle name="style1358256383458 2 4" xfId="1664" xr:uid="{00000000-0005-0000-0000-0000D4090000}"/>
    <cellStyle name="style1358256383458 2 4 2" xfId="2798" xr:uid="{00000000-0005-0000-0000-0000D5090000}"/>
    <cellStyle name="style1358256383458 2 5" xfId="2791" xr:uid="{00000000-0005-0000-0000-0000D6090000}"/>
    <cellStyle name="style1358256383458 3" xfId="551" xr:uid="{00000000-0005-0000-0000-0000D7090000}"/>
    <cellStyle name="style1358256383458 3 2" xfId="552" xr:uid="{00000000-0005-0000-0000-0000D8090000}"/>
    <cellStyle name="style1358256383458 3 2 2" xfId="1669" xr:uid="{00000000-0005-0000-0000-0000D9090000}"/>
    <cellStyle name="style1358256383458 3 2 2 2" xfId="2801" xr:uid="{00000000-0005-0000-0000-0000DA090000}"/>
    <cellStyle name="style1358256383458 3 2 3" xfId="2800" xr:uid="{00000000-0005-0000-0000-0000DB090000}"/>
    <cellStyle name="style1358256383458 3 3" xfId="1668" xr:uid="{00000000-0005-0000-0000-0000DC090000}"/>
    <cellStyle name="style1358256383458 3 3 2" xfId="2802" xr:uid="{00000000-0005-0000-0000-0000DD090000}"/>
    <cellStyle name="style1358256383458 3 4" xfId="2799" xr:uid="{00000000-0005-0000-0000-0000DE090000}"/>
    <cellStyle name="style1358256383458 4" xfId="553" xr:uid="{00000000-0005-0000-0000-0000DF090000}"/>
    <cellStyle name="style1358256383458 4 2" xfId="1670" xr:uid="{00000000-0005-0000-0000-0000E0090000}"/>
    <cellStyle name="style1358256383458 4 2 2" xfId="2804" xr:uid="{00000000-0005-0000-0000-0000E1090000}"/>
    <cellStyle name="style1358256383458 4 3" xfId="2803" xr:uid="{00000000-0005-0000-0000-0000E2090000}"/>
    <cellStyle name="style1358256383458 5" xfId="1663" xr:uid="{00000000-0005-0000-0000-0000E3090000}"/>
    <cellStyle name="style1358256383458 5 2" xfId="2805" xr:uid="{00000000-0005-0000-0000-0000E4090000}"/>
    <cellStyle name="style1358256383458 6" xfId="2790" xr:uid="{00000000-0005-0000-0000-0000E5090000}"/>
    <cellStyle name="style1358256383501" xfId="554" xr:uid="{00000000-0005-0000-0000-0000E6090000}"/>
    <cellStyle name="style1358256383501 2" xfId="555" xr:uid="{00000000-0005-0000-0000-0000E7090000}"/>
    <cellStyle name="style1358256383501 2 2" xfId="556" xr:uid="{00000000-0005-0000-0000-0000E8090000}"/>
    <cellStyle name="style1358256383501 2 2 2" xfId="557" xr:uid="{00000000-0005-0000-0000-0000E9090000}"/>
    <cellStyle name="style1358256383501 2 2 2 2" xfId="1674" xr:uid="{00000000-0005-0000-0000-0000EA090000}"/>
    <cellStyle name="style1358256383501 2 2 2 2 2" xfId="2810" xr:uid="{00000000-0005-0000-0000-0000EB090000}"/>
    <cellStyle name="style1358256383501 2 2 2 3" xfId="2809" xr:uid="{00000000-0005-0000-0000-0000EC090000}"/>
    <cellStyle name="style1358256383501 2 2 3" xfId="1673" xr:uid="{00000000-0005-0000-0000-0000ED090000}"/>
    <cellStyle name="style1358256383501 2 2 3 2" xfId="2811" xr:uid="{00000000-0005-0000-0000-0000EE090000}"/>
    <cellStyle name="style1358256383501 2 2 4" xfId="2808" xr:uid="{00000000-0005-0000-0000-0000EF090000}"/>
    <cellStyle name="style1358256383501 2 3" xfId="558" xr:uid="{00000000-0005-0000-0000-0000F0090000}"/>
    <cellStyle name="style1358256383501 2 3 2" xfId="1675" xr:uid="{00000000-0005-0000-0000-0000F1090000}"/>
    <cellStyle name="style1358256383501 2 3 2 2" xfId="2813" xr:uid="{00000000-0005-0000-0000-0000F2090000}"/>
    <cellStyle name="style1358256383501 2 3 3" xfId="2812" xr:uid="{00000000-0005-0000-0000-0000F3090000}"/>
    <cellStyle name="style1358256383501 2 4" xfId="1672" xr:uid="{00000000-0005-0000-0000-0000F4090000}"/>
    <cellStyle name="style1358256383501 2 4 2" xfId="2814" xr:uid="{00000000-0005-0000-0000-0000F5090000}"/>
    <cellStyle name="style1358256383501 2 5" xfId="2807" xr:uid="{00000000-0005-0000-0000-0000F6090000}"/>
    <cellStyle name="style1358256383501 3" xfId="559" xr:uid="{00000000-0005-0000-0000-0000F7090000}"/>
    <cellStyle name="style1358256383501 3 2" xfId="560" xr:uid="{00000000-0005-0000-0000-0000F8090000}"/>
    <cellStyle name="style1358256383501 3 2 2" xfId="1677" xr:uid="{00000000-0005-0000-0000-0000F9090000}"/>
    <cellStyle name="style1358256383501 3 2 2 2" xfId="2817" xr:uid="{00000000-0005-0000-0000-0000FA090000}"/>
    <cellStyle name="style1358256383501 3 2 3" xfId="2816" xr:uid="{00000000-0005-0000-0000-0000FB090000}"/>
    <cellStyle name="style1358256383501 3 3" xfId="1676" xr:uid="{00000000-0005-0000-0000-0000FC090000}"/>
    <cellStyle name="style1358256383501 3 3 2" xfId="2818" xr:uid="{00000000-0005-0000-0000-0000FD090000}"/>
    <cellStyle name="style1358256383501 3 4" xfId="2815" xr:uid="{00000000-0005-0000-0000-0000FE090000}"/>
    <cellStyle name="style1358256383501 4" xfId="561" xr:uid="{00000000-0005-0000-0000-0000FF090000}"/>
    <cellStyle name="style1358256383501 4 2" xfId="1678" xr:uid="{00000000-0005-0000-0000-0000000A0000}"/>
    <cellStyle name="style1358256383501 4 2 2" xfId="2820" xr:uid="{00000000-0005-0000-0000-0000010A0000}"/>
    <cellStyle name="style1358256383501 4 3" xfId="2819" xr:uid="{00000000-0005-0000-0000-0000020A0000}"/>
    <cellStyle name="style1358256383501 5" xfId="1671" xr:uid="{00000000-0005-0000-0000-0000030A0000}"/>
    <cellStyle name="style1358256383501 5 2" xfId="2821" xr:uid="{00000000-0005-0000-0000-0000040A0000}"/>
    <cellStyle name="style1358256383501 6" xfId="2806" xr:uid="{00000000-0005-0000-0000-0000050A0000}"/>
    <cellStyle name="style1358256383614" xfId="562" xr:uid="{00000000-0005-0000-0000-0000060A0000}"/>
    <cellStyle name="style1358256383614 2" xfId="563" xr:uid="{00000000-0005-0000-0000-0000070A0000}"/>
    <cellStyle name="style1358256383614 2 2" xfId="564" xr:uid="{00000000-0005-0000-0000-0000080A0000}"/>
    <cellStyle name="style1358256383614 2 2 2" xfId="565" xr:uid="{00000000-0005-0000-0000-0000090A0000}"/>
    <cellStyle name="style1358256383614 2 2 2 2" xfId="1682" xr:uid="{00000000-0005-0000-0000-00000A0A0000}"/>
    <cellStyle name="style1358256383614 2 2 2 2 2" xfId="2826" xr:uid="{00000000-0005-0000-0000-00000B0A0000}"/>
    <cellStyle name="style1358256383614 2 2 2 3" xfId="2825" xr:uid="{00000000-0005-0000-0000-00000C0A0000}"/>
    <cellStyle name="style1358256383614 2 2 3" xfId="1681" xr:uid="{00000000-0005-0000-0000-00000D0A0000}"/>
    <cellStyle name="style1358256383614 2 2 3 2" xfId="2827" xr:uid="{00000000-0005-0000-0000-00000E0A0000}"/>
    <cellStyle name="style1358256383614 2 2 4" xfId="2824" xr:uid="{00000000-0005-0000-0000-00000F0A0000}"/>
    <cellStyle name="style1358256383614 2 3" xfId="566" xr:uid="{00000000-0005-0000-0000-0000100A0000}"/>
    <cellStyle name="style1358256383614 2 3 2" xfId="1683" xr:uid="{00000000-0005-0000-0000-0000110A0000}"/>
    <cellStyle name="style1358256383614 2 3 2 2" xfId="2829" xr:uid="{00000000-0005-0000-0000-0000120A0000}"/>
    <cellStyle name="style1358256383614 2 3 3" xfId="2828" xr:uid="{00000000-0005-0000-0000-0000130A0000}"/>
    <cellStyle name="style1358256383614 2 4" xfId="1680" xr:uid="{00000000-0005-0000-0000-0000140A0000}"/>
    <cellStyle name="style1358256383614 2 4 2" xfId="2830" xr:uid="{00000000-0005-0000-0000-0000150A0000}"/>
    <cellStyle name="style1358256383614 2 5" xfId="2823" xr:uid="{00000000-0005-0000-0000-0000160A0000}"/>
    <cellStyle name="style1358256383614 3" xfId="567" xr:uid="{00000000-0005-0000-0000-0000170A0000}"/>
    <cellStyle name="style1358256383614 3 2" xfId="568" xr:uid="{00000000-0005-0000-0000-0000180A0000}"/>
    <cellStyle name="style1358256383614 3 2 2" xfId="1685" xr:uid="{00000000-0005-0000-0000-0000190A0000}"/>
    <cellStyle name="style1358256383614 3 2 2 2" xfId="2833" xr:uid="{00000000-0005-0000-0000-00001A0A0000}"/>
    <cellStyle name="style1358256383614 3 2 3" xfId="2832" xr:uid="{00000000-0005-0000-0000-00001B0A0000}"/>
    <cellStyle name="style1358256383614 3 3" xfId="1684" xr:uid="{00000000-0005-0000-0000-00001C0A0000}"/>
    <cellStyle name="style1358256383614 3 3 2" xfId="2834" xr:uid="{00000000-0005-0000-0000-00001D0A0000}"/>
    <cellStyle name="style1358256383614 3 4" xfId="2831" xr:uid="{00000000-0005-0000-0000-00001E0A0000}"/>
    <cellStyle name="style1358256383614 4" xfId="569" xr:uid="{00000000-0005-0000-0000-00001F0A0000}"/>
    <cellStyle name="style1358256383614 4 2" xfId="1686" xr:uid="{00000000-0005-0000-0000-0000200A0000}"/>
    <cellStyle name="style1358256383614 4 2 2" xfId="2836" xr:uid="{00000000-0005-0000-0000-0000210A0000}"/>
    <cellStyle name="style1358256383614 4 3" xfId="2835" xr:uid="{00000000-0005-0000-0000-0000220A0000}"/>
    <cellStyle name="style1358256383614 5" xfId="1679" xr:uid="{00000000-0005-0000-0000-0000230A0000}"/>
    <cellStyle name="style1358256383614 5 2" xfId="2837" xr:uid="{00000000-0005-0000-0000-0000240A0000}"/>
    <cellStyle name="style1358256383614 6" xfId="2822" xr:uid="{00000000-0005-0000-0000-0000250A0000}"/>
    <cellStyle name="style1358256383678" xfId="570" xr:uid="{00000000-0005-0000-0000-0000260A0000}"/>
    <cellStyle name="style1358256383678 2" xfId="571" xr:uid="{00000000-0005-0000-0000-0000270A0000}"/>
    <cellStyle name="style1358256383678 2 2" xfId="572" xr:uid="{00000000-0005-0000-0000-0000280A0000}"/>
    <cellStyle name="style1358256383678 2 2 2" xfId="573" xr:uid="{00000000-0005-0000-0000-0000290A0000}"/>
    <cellStyle name="style1358256383678 2 2 2 2" xfId="1690" xr:uid="{00000000-0005-0000-0000-00002A0A0000}"/>
    <cellStyle name="style1358256383678 2 2 2 2 2" xfId="2842" xr:uid="{00000000-0005-0000-0000-00002B0A0000}"/>
    <cellStyle name="style1358256383678 2 2 2 3" xfId="2841" xr:uid="{00000000-0005-0000-0000-00002C0A0000}"/>
    <cellStyle name="style1358256383678 2 2 3" xfId="1689" xr:uid="{00000000-0005-0000-0000-00002D0A0000}"/>
    <cellStyle name="style1358256383678 2 2 3 2" xfId="2843" xr:uid="{00000000-0005-0000-0000-00002E0A0000}"/>
    <cellStyle name="style1358256383678 2 2 4" xfId="2840" xr:uid="{00000000-0005-0000-0000-00002F0A0000}"/>
    <cellStyle name="style1358256383678 2 3" xfId="574" xr:uid="{00000000-0005-0000-0000-0000300A0000}"/>
    <cellStyle name="style1358256383678 2 3 2" xfId="1691" xr:uid="{00000000-0005-0000-0000-0000310A0000}"/>
    <cellStyle name="style1358256383678 2 3 2 2" xfId="2845" xr:uid="{00000000-0005-0000-0000-0000320A0000}"/>
    <cellStyle name="style1358256383678 2 3 3" xfId="2844" xr:uid="{00000000-0005-0000-0000-0000330A0000}"/>
    <cellStyle name="style1358256383678 2 4" xfId="1688" xr:uid="{00000000-0005-0000-0000-0000340A0000}"/>
    <cellStyle name="style1358256383678 2 4 2" xfId="2846" xr:uid="{00000000-0005-0000-0000-0000350A0000}"/>
    <cellStyle name="style1358256383678 2 5" xfId="2839" xr:uid="{00000000-0005-0000-0000-0000360A0000}"/>
    <cellStyle name="style1358256383678 3" xfId="575" xr:uid="{00000000-0005-0000-0000-0000370A0000}"/>
    <cellStyle name="style1358256383678 3 2" xfId="576" xr:uid="{00000000-0005-0000-0000-0000380A0000}"/>
    <cellStyle name="style1358256383678 3 2 2" xfId="1693" xr:uid="{00000000-0005-0000-0000-0000390A0000}"/>
    <cellStyle name="style1358256383678 3 2 2 2" xfId="2849" xr:uid="{00000000-0005-0000-0000-00003A0A0000}"/>
    <cellStyle name="style1358256383678 3 2 3" xfId="2848" xr:uid="{00000000-0005-0000-0000-00003B0A0000}"/>
    <cellStyle name="style1358256383678 3 3" xfId="1692" xr:uid="{00000000-0005-0000-0000-00003C0A0000}"/>
    <cellStyle name="style1358256383678 3 3 2" xfId="2850" xr:uid="{00000000-0005-0000-0000-00003D0A0000}"/>
    <cellStyle name="style1358256383678 3 4" xfId="2847" xr:uid="{00000000-0005-0000-0000-00003E0A0000}"/>
    <cellStyle name="style1358256383678 4" xfId="577" xr:uid="{00000000-0005-0000-0000-00003F0A0000}"/>
    <cellStyle name="style1358256383678 4 2" xfId="1694" xr:uid="{00000000-0005-0000-0000-0000400A0000}"/>
    <cellStyle name="style1358256383678 4 2 2" xfId="2852" xr:uid="{00000000-0005-0000-0000-0000410A0000}"/>
    <cellStyle name="style1358256383678 4 3" xfId="2851" xr:uid="{00000000-0005-0000-0000-0000420A0000}"/>
    <cellStyle name="style1358256383678 5" xfId="1687" xr:uid="{00000000-0005-0000-0000-0000430A0000}"/>
    <cellStyle name="style1358256383678 5 2" xfId="2853" xr:uid="{00000000-0005-0000-0000-0000440A0000}"/>
    <cellStyle name="style1358256383678 6" xfId="2838" xr:uid="{00000000-0005-0000-0000-0000450A0000}"/>
    <cellStyle name="style1358256383714" xfId="578" xr:uid="{00000000-0005-0000-0000-0000460A0000}"/>
    <cellStyle name="style1358256383714 2" xfId="579" xr:uid="{00000000-0005-0000-0000-0000470A0000}"/>
    <cellStyle name="style1358256383714 2 2" xfId="580" xr:uid="{00000000-0005-0000-0000-0000480A0000}"/>
    <cellStyle name="style1358256383714 2 2 2" xfId="581" xr:uid="{00000000-0005-0000-0000-0000490A0000}"/>
    <cellStyle name="style1358256383714 2 2 2 2" xfId="1698" xr:uid="{00000000-0005-0000-0000-00004A0A0000}"/>
    <cellStyle name="style1358256383714 2 2 2 2 2" xfId="2858" xr:uid="{00000000-0005-0000-0000-00004B0A0000}"/>
    <cellStyle name="style1358256383714 2 2 2 3" xfId="2857" xr:uid="{00000000-0005-0000-0000-00004C0A0000}"/>
    <cellStyle name="style1358256383714 2 2 3" xfId="1697" xr:uid="{00000000-0005-0000-0000-00004D0A0000}"/>
    <cellStyle name="style1358256383714 2 2 3 2" xfId="2859" xr:uid="{00000000-0005-0000-0000-00004E0A0000}"/>
    <cellStyle name="style1358256383714 2 2 4" xfId="2856" xr:uid="{00000000-0005-0000-0000-00004F0A0000}"/>
    <cellStyle name="style1358256383714 2 3" xfId="582" xr:uid="{00000000-0005-0000-0000-0000500A0000}"/>
    <cellStyle name="style1358256383714 2 3 2" xfId="1699" xr:uid="{00000000-0005-0000-0000-0000510A0000}"/>
    <cellStyle name="style1358256383714 2 3 2 2" xfId="2861" xr:uid="{00000000-0005-0000-0000-0000520A0000}"/>
    <cellStyle name="style1358256383714 2 3 3" xfId="2860" xr:uid="{00000000-0005-0000-0000-0000530A0000}"/>
    <cellStyle name="style1358256383714 2 4" xfId="1696" xr:uid="{00000000-0005-0000-0000-0000540A0000}"/>
    <cellStyle name="style1358256383714 2 4 2" xfId="2862" xr:uid="{00000000-0005-0000-0000-0000550A0000}"/>
    <cellStyle name="style1358256383714 2 5" xfId="2855" xr:uid="{00000000-0005-0000-0000-0000560A0000}"/>
    <cellStyle name="style1358256383714 3" xfId="583" xr:uid="{00000000-0005-0000-0000-0000570A0000}"/>
    <cellStyle name="style1358256383714 3 2" xfId="584" xr:uid="{00000000-0005-0000-0000-0000580A0000}"/>
    <cellStyle name="style1358256383714 3 2 2" xfId="1701" xr:uid="{00000000-0005-0000-0000-0000590A0000}"/>
    <cellStyle name="style1358256383714 3 2 2 2" xfId="2865" xr:uid="{00000000-0005-0000-0000-00005A0A0000}"/>
    <cellStyle name="style1358256383714 3 2 3" xfId="2864" xr:uid="{00000000-0005-0000-0000-00005B0A0000}"/>
    <cellStyle name="style1358256383714 3 3" xfId="1700" xr:uid="{00000000-0005-0000-0000-00005C0A0000}"/>
    <cellStyle name="style1358256383714 3 3 2" xfId="2866" xr:uid="{00000000-0005-0000-0000-00005D0A0000}"/>
    <cellStyle name="style1358256383714 3 4" xfId="2863" xr:uid="{00000000-0005-0000-0000-00005E0A0000}"/>
    <cellStyle name="style1358256383714 4" xfId="585" xr:uid="{00000000-0005-0000-0000-00005F0A0000}"/>
    <cellStyle name="style1358256383714 4 2" xfId="1702" xr:uid="{00000000-0005-0000-0000-0000600A0000}"/>
    <cellStyle name="style1358256383714 4 2 2" xfId="2868" xr:uid="{00000000-0005-0000-0000-0000610A0000}"/>
    <cellStyle name="style1358256383714 4 3" xfId="2867" xr:uid="{00000000-0005-0000-0000-0000620A0000}"/>
    <cellStyle name="style1358256383714 5" xfId="1695" xr:uid="{00000000-0005-0000-0000-0000630A0000}"/>
    <cellStyle name="style1358256383714 5 2" xfId="2869" xr:uid="{00000000-0005-0000-0000-0000640A0000}"/>
    <cellStyle name="style1358256383714 6" xfId="2854" xr:uid="{00000000-0005-0000-0000-0000650A0000}"/>
    <cellStyle name="style1358256383749" xfId="586" xr:uid="{00000000-0005-0000-0000-0000660A0000}"/>
    <cellStyle name="style1358256383749 2" xfId="587" xr:uid="{00000000-0005-0000-0000-0000670A0000}"/>
    <cellStyle name="style1358256383749 2 2" xfId="588" xr:uid="{00000000-0005-0000-0000-0000680A0000}"/>
    <cellStyle name="style1358256383749 2 2 2" xfId="589" xr:uid="{00000000-0005-0000-0000-0000690A0000}"/>
    <cellStyle name="style1358256383749 2 2 2 2" xfId="1706" xr:uid="{00000000-0005-0000-0000-00006A0A0000}"/>
    <cellStyle name="style1358256383749 2 2 2 2 2" xfId="2874" xr:uid="{00000000-0005-0000-0000-00006B0A0000}"/>
    <cellStyle name="style1358256383749 2 2 2 3" xfId="2873" xr:uid="{00000000-0005-0000-0000-00006C0A0000}"/>
    <cellStyle name="style1358256383749 2 2 3" xfId="1705" xr:uid="{00000000-0005-0000-0000-00006D0A0000}"/>
    <cellStyle name="style1358256383749 2 2 3 2" xfId="2875" xr:uid="{00000000-0005-0000-0000-00006E0A0000}"/>
    <cellStyle name="style1358256383749 2 2 4" xfId="2872" xr:uid="{00000000-0005-0000-0000-00006F0A0000}"/>
    <cellStyle name="style1358256383749 2 3" xfId="590" xr:uid="{00000000-0005-0000-0000-0000700A0000}"/>
    <cellStyle name="style1358256383749 2 3 2" xfId="1707" xr:uid="{00000000-0005-0000-0000-0000710A0000}"/>
    <cellStyle name="style1358256383749 2 3 2 2" xfId="2877" xr:uid="{00000000-0005-0000-0000-0000720A0000}"/>
    <cellStyle name="style1358256383749 2 3 3" xfId="2876" xr:uid="{00000000-0005-0000-0000-0000730A0000}"/>
    <cellStyle name="style1358256383749 2 4" xfId="1704" xr:uid="{00000000-0005-0000-0000-0000740A0000}"/>
    <cellStyle name="style1358256383749 2 4 2" xfId="2878" xr:uid="{00000000-0005-0000-0000-0000750A0000}"/>
    <cellStyle name="style1358256383749 2 5" xfId="2871" xr:uid="{00000000-0005-0000-0000-0000760A0000}"/>
    <cellStyle name="style1358256383749 3" xfId="591" xr:uid="{00000000-0005-0000-0000-0000770A0000}"/>
    <cellStyle name="style1358256383749 3 2" xfId="592" xr:uid="{00000000-0005-0000-0000-0000780A0000}"/>
    <cellStyle name="style1358256383749 3 2 2" xfId="1709" xr:uid="{00000000-0005-0000-0000-0000790A0000}"/>
    <cellStyle name="style1358256383749 3 2 2 2" xfId="2881" xr:uid="{00000000-0005-0000-0000-00007A0A0000}"/>
    <cellStyle name="style1358256383749 3 2 3" xfId="2880" xr:uid="{00000000-0005-0000-0000-00007B0A0000}"/>
    <cellStyle name="style1358256383749 3 3" xfId="1708" xr:uid="{00000000-0005-0000-0000-00007C0A0000}"/>
    <cellStyle name="style1358256383749 3 3 2" xfId="2882" xr:uid="{00000000-0005-0000-0000-00007D0A0000}"/>
    <cellStyle name="style1358256383749 3 4" xfId="2879" xr:uid="{00000000-0005-0000-0000-00007E0A0000}"/>
    <cellStyle name="style1358256383749 4" xfId="593" xr:uid="{00000000-0005-0000-0000-00007F0A0000}"/>
    <cellStyle name="style1358256383749 4 2" xfId="1710" xr:uid="{00000000-0005-0000-0000-0000800A0000}"/>
    <cellStyle name="style1358256383749 4 2 2" xfId="2884" xr:uid="{00000000-0005-0000-0000-0000810A0000}"/>
    <cellStyle name="style1358256383749 4 3" xfId="2883" xr:uid="{00000000-0005-0000-0000-0000820A0000}"/>
    <cellStyle name="style1358256383749 5" xfId="1703" xr:uid="{00000000-0005-0000-0000-0000830A0000}"/>
    <cellStyle name="style1358256383749 5 2" xfId="2885" xr:uid="{00000000-0005-0000-0000-0000840A0000}"/>
    <cellStyle name="style1358256383749 6" xfId="2870" xr:uid="{00000000-0005-0000-0000-0000850A0000}"/>
    <cellStyle name="style1358256383784" xfId="594" xr:uid="{00000000-0005-0000-0000-0000860A0000}"/>
    <cellStyle name="style1358256383784 2" xfId="595" xr:uid="{00000000-0005-0000-0000-0000870A0000}"/>
    <cellStyle name="style1358256383784 2 2" xfId="596" xr:uid="{00000000-0005-0000-0000-0000880A0000}"/>
    <cellStyle name="style1358256383784 2 2 2" xfId="597" xr:uid="{00000000-0005-0000-0000-0000890A0000}"/>
    <cellStyle name="style1358256383784 2 2 2 2" xfId="1714" xr:uid="{00000000-0005-0000-0000-00008A0A0000}"/>
    <cellStyle name="style1358256383784 2 2 2 2 2" xfId="2890" xr:uid="{00000000-0005-0000-0000-00008B0A0000}"/>
    <cellStyle name="style1358256383784 2 2 2 3" xfId="2889" xr:uid="{00000000-0005-0000-0000-00008C0A0000}"/>
    <cellStyle name="style1358256383784 2 2 3" xfId="1713" xr:uid="{00000000-0005-0000-0000-00008D0A0000}"/>
    <cellStyle name="style1358256383784 2 2 3 2" xfId="2891" xr:uid="{00000000-0005-0000-0000-00008E0A0000}"/>
    <cellStyle name="style1358256383784 2 2 4" xfId="2888" xr:uid="{00000000-0005-0000-0000-00008F0A0000}"/>
    <cellStyle name="style1358256383784 2 3" xfId="598" xr:uid="{00000000-0005-0000-0000-0000900A0000}"/>
    <cellStyle name="style1358256383784 2 3 2" xfId="1715" xr:uid="{00000000-0005-0000-0000-0000910A0000}"/>
    <cellStyle name="style1358256383784 2 3 2 2" xfId="2893" xr:uid="{00000000-0005-0000-0000-0000920A0000}"/>
    <cellStyle name="style1358256383784 2 3 3" xfId="2892" xr:uid="{00000000-0005-0000-0000-0000930A0000}"/>
    <cellStyle name="style1358256383784 2 4" xfId="1712" xr:uid="{00000000-0005-0000-0000-0000940A0000}"/>
    <cellStyle name="style1358256383784 2 4 2" xfId="2894" xr:uid="{00000000-0005-0000-0000-0000950A0000}"/>
    <cellStyle name="style1358256383784 2 5" xfId="2887" xr:uid="{00000000-0005-0000-0000-0000960A0000}"/>
    <cellStyle name="style1358256383784 3" xfId="599" xr:uid="{00000000-0005-0000-0000-0000970A0000}"/>
    <cellStyle name="style1358256383784 3 2" xfId="600" xr:uid="{00000000-0005-0000-0000-0000980A0000}"/>
    <cellStyle name="style1358256383784 3 2 2" xfId="1717" xr:uid="{00000000-0005-0000-0000-0000990A0000}"/>
    <cellStyle name="style1358256383784 3 2 2 2" xfId="2897" xr:uid="{00000000-0005-0000-0000-00009A0A0000}"/>
    <cellStyle name="style1358256383784 3 2 3" xfId="2896" xr:uid="{00000000-0005-0000-0000-00009B0A0000}"/>
    <cellStyle name="style1358256383784 3 3" xfId="1716" xr:uid="{00000000-0005-0000-0000-00009C0A0000}"/>
    <cellStyle name="style1358256383784 3 3 2" xfId="2898" xr:uid="{00000000-0005-0000-0000-00009D0A0000}"/>
    <cellStyle name="style1358256383784 3 4" xfId="2895" xr:uid="{00000000-0005-0000-0000-00009E0A0000}"/>
    <cellStyle name="style1358256383784 4" xfId="601" xr:uid="{00000000-0005-0000-0000-00009F0A0000}"/>
    <cellStyle name="style1358256383784 4 2" xfId="1718" xr:uid="{00000000-0005-0000-0000-0000A00A0000}"/>
    <cellStyle name="style1358256383784 4 2 2" xfId="2900" xr:uid="{00000000-0005-0000-0000-0000A10A0000}"/>
    <cellStyle name="style1358256383784 4 3" xfId="2899" xr:uid="{00000000-0005-0000-0000-0000A20A0000}"/>
    <cellStyle name="style1358256383784 5" xfId="1711" xr:uid="{00000000-0005-0000-0000-0000A30A0000}"/>
    <cellStyle name="style1358256383784 5 2" xfId="2901" xr:uid="{00000000-0005-0000-0000-0000A40A0000}"/>
    <cellStyle name="style1358256383784 6" xfId="2886" xr:uid="{00000000-0005-0000-0000-0000A50A0000}"/>
    <cellStyle name="style1358256383822" xfId="602" xr:uid="{00000000-0005-0000-0000-0000A60A0000}"/>
    <cellStyle name="style1358256383822 2" xfId="603" xr:uid="{00000000-0005-0000-0000-0000A70A0000}"/>
    <cellStyle name="style1358256383822 2 2" xfId="604" xr:uid="{00000000-0005-0000-0000-0000A80A0000}"/>
    <cellStyle name="style1358256383822 2 2 2" xfId="605" xr:uid="{00000000-0005-0000-0000-0000A90A0000}"/>
    <cellStyle name="style1358256383822 2 2 2 2" xfId="1722" xr:uid="{00000000-0005-0000-0000-0000AA0A0000}"/>
    <cellStyle name="style1358256383822 2 2 2 2 2" xfId="2906" xr:uid="{00000000-0005-0000-0000-0000AB0A0000}"/>
    <cellStyle name="style1358256383822 2 2 2 3" xfId="2905" xr:uid="{00000000-0005-0000-0000-0000AC0A0000}"/>
    <cellStyle name="style1358256383822 2 2 3" xfId="1721" xr:uid="{00000000-0005-0000-0000-0000AD0A0000}"/>
    <cellStyle name="style1358256383822 2 2 3 2" xfId="2907" xr:uid="{00000000-0005-0000-0000-0000AE0A0000}"/>
    <cellStyle name="style1358256383822 2 2 4" xfId="2904" xr:uid="{00000000-0005-0000-0000-0000AF0A0000}"/>
    <cellStyle name="style1358256383822 2 3" xfId="606" xr:uid="{00000000-0005-0000-0000-0000B00A0000}"/>
    <cellStyle name="style1358256383822 2 3 2" xfId="1723" xr:uid="{00000000-0005-0000-0000-0000B10A0000}"/>
    <cellStyle name="style1358256383822 2 3 2 2" xfId="2909" xr:uid="{00000000-0005-0000-0000-0000B20A0000}"/>
    <cellStyle name="style1358256383822 2 3 3" xfId="2908" xr:uid="{00000000-0005-0000-0000-0000B30A0000}"/>
    <cellStyle name="style1358256383822 2 4" xfId="1720" xr:uid="{00000000-0005-0000-0000-0000B40A0000}"/>
    <cellStyle name="style1358256383822 2 4 2" xfId="2910" xr:uid="{00000000-0005-0000-0000-0000B50A0000}"/>
    <cellStyle name="style1358256383822 2 5" xfId="2903" xr:uid="{00000000-0005-0000-0000-0000B60A0000}"/>
    <cellStyle name="style1358256383822 3" xfId="607" xr:uid="{00000000-0005-0000-0000-0000B70A0000}"/>
    <cellStyle name="style1358256383822 3 2" xfId="608" xr:uid="{00000000-0005-0000-0000-0000B80A0000}"/>
    <cellStyle name="style1358256383822 3 2 2" xfId="1725" xr:uid="{00000000-0005-0000-0000-0000B90A0000}"/>
    <cellStyle name="style1358256383822 3 2 2 2" xfId="2913" xr:uid="{00000000-0005-0000-0000-0000BA0A0000}"/>
    <cellStyle name="style1358256383822 3 2 3" xfId="2912" xr:uid="{00000000-0005-0000-0000-0000BB0A0000}"/>
    <cellStyle name="style1358256383822 3 3" xfId="1724" xr:uid="{00000000-0005-0000-0000-0000BC0A0000}"/>
    <cellStyle name="style1358256383822 3 3 2" xfId="2914" xr:uid="{00000000-0005-0000-0000-0000BD0A0000}"/>
    <cellStyle name="style1358256383822 3 4" xfId="2911" xr:uid="{00000000-0005-0000-0000-0000BE0A0000}"/>
    <cellStyle name="style1358256383822 4" xfId="609" xr:uid="{00000000-0005-0000-0000-0000BF0A0000}"/>
    <cellStyle name="style1358256383822 4 2" xfId="1726" xr:uid="{00000000-0005-0000-0000-0000C00A0000}"/>
    <cellStyle name="style1358256383822 4 2 2" xfId="2916" xr:uid="{00000000-0005-0000-0000-0000C10A0000}"/>
    <cellStyle name="style1358256383822 4 3" xfId="2915" xr:uid="{00000000-0005-0000-0000-0000C20A0000}"/>
    <cellStyle name="style1358256383822 5" xfId="1719" xr:uid="{00000000-0005-0000-0000-0000C30A0000}"/>
    <cellStyle name="style1358256383822 5 2" xfId="2917" xr:uid="{00000000-0005-0000-0000-0000C40A0000}"/>
    <cellStyle name="style1358256383822 6" xfId="2902" xr:uid="{00000000-0005-0000-0000-0000C50A0000}"/>
    <cellStyle name="style1358256383879" xfId="610" xr:uid="{00000000-0005-0000-0000-0000C60A0000}"/>
    <cellStyle name="style1358256383879 2" xfId="611" xr:uid="{00000000-0005-0000-0000-0000C70A0000}"/>
    <cellStyle name="style1358256383879 2 2" xfId="612" xr:uid="{00000000-0005-0000-0000-0000C80A0000}"/>
    <cellStyle name="style1358256383879 2 2 2" xfId="613" xr:uid="{00000000-0005-0000-0000-0000C90A0000}"/>
    <cellStyle name="style1358256383879 2 2 2 2" xfId="1730" xr:uid="{00000000-0005-0000-0000-0000CA0A0000}"/>
    <cellStyle name="style1358256383879 2 2 2 2 2" xfId="2922" xr:uid="{00000000-0005-0000-0000-0000CB0A0000}"/>
    <cellStyle name="style1358256383879 2 2 2 3" xfId="2921" xr:uid="{00000000-0005-0000-0000-0000CC0A0000}"/>
    <cellStyle name="style1358256383879 2 2 3" xfId="1729" xr:uid="{00000000-0005-0000-0000-0000CD0A0000}"/>
    <cellStyle name="style1358256383879 2 2 3 2" xfId="2923" xr:uid="{00000000-0005-0000-0000-0000CE0A0000}"/>
    <cellStyle name="style1358256383879 2 2 4" xfId="2920" xr:uid="{00000000-0005-0000-0000-0000CF0A0000}"/>
    <cellStyle name="style1358256383879 2 3" xfId="614" xr:uid="{00000000-0005-0000-0000-0000D00A0000}"/>
    <cellStyle name="style1358256383879 2 3 2" xfId="1731" xr:uid="{00000000-0005-0000-0000-0000D10A0000}"/>
    <cellStyle name="style1358256383879 2 3 2 2" xfId="2925" xr:uid="{00000000-0005-0000-0000-0000D20A0000}"/>
    <cellStyle name="style1358256383879 2 3 3" xfId="2924" xr:uid="{00000000-0005-0000-0000-0000D30A0000}"/>
    <cellStyle name="style1358256383879 2 4" xfId="1728" xr:uid="{00000000-0005-0000-0000-0000D40A0000}"/>
    <cellStyle name="style1358256383879 2 4 2" xfId="2926" xr:uid="{00000000-0005-0000-0000-0000D50A0000}"/>
    <cellStyle name="style1358256383879 2 5" xfId="2919" xr:uid="{00000000-0005-0000-0000-0000D60A0000}"/>
    <cellStyle name="style1358256383879 3" xfId="615" xr:uid="{00000000-0005-0000-0000-0000D70A0000}"/>
    <cellStyle name="style1358256383879 3 2" xfId="616" xr:uid="{00000000-0005-0000-0000-0000D80A0000}"/>
    <cellStyle name="style1358256383879 3 2 2" xfId="1733" xr:uid="{00000000-0005-0000-0000-0000D90A0000}"/>
    <cellStyle name="style1358256383879 3 2 2 2" xfId="2929" xr:uid="{00000000-0005-0000-0000-0000DA0A0000}"/>
    <cellStyle name="style1358256383879 3 2 3" xfId="2928" xr:uid="{00000000-0005-0000-0000-0000DB0A0000}"/>
    <cellStyle name="style1358256383879 3 3" xfId="1732" xr:uid="{00000000-0005-0000-0000-0000DC0A0000}"/>
    <cellStyle name="style1358256383879 3 3 2" xfId="2930" xr:uid="{00000000-0005-0000-0000-0000DD0A0000}"/>
    <cellStyle name="style1358256383879 3 4" xfId="2927" xr:uid="{00000000-0005-0000-0000-0000DE0A0000}"/>
    <cellStyle name="style1358256383879 4" xfId="617" xr:uid="{00000000-0005-0000-0000-0000DF0A0000}"/>
    <cellStyle name="style1358256383879 4 2" xfId="1734" xr:uid="{00000000-0005-0000-0000-0000E00A0000}"/>
    <cellStyle name="style1358256383879 4 2 2" xfId="2932" xr:uid="{00000000-0005-0000-0000-0000E10A0000}"/>
    <cellStyle name="style1358256383879 4 3" xfId="2931" xr:uid="{00000000-0005-0000-0000-0000E20A0000}"/>
    <cellStyle name="style1358256383879 5" xfId="1727" xr:uid="{00000000-0005-0000-0000-0000E30A0000}"/>
    <cellStyle name="style1358256383879 5 2" xfId="2933" xr:uid="{00000000-0005-0000-0000-0000E40A0000}"/>
    <cellStyle name="style1358256383879 6" xfId="2918" xr:uid="{00000000-0005-0000-0000-0000E50A0000}"/>
    <cellStyle name="style1358256383925" xfId="618" xr:uid="{00000000-0005-0000-0000-0000E60A0000}"/>
    <cellStyle name="style1358256383925 2" xfId="619" xr:uid="{00000000-0005-0000-0000-0000E70A0000}"/>
    <cellStyle name="style1358256383925 2 2" xfId="620" xr:uid="{00000000-0005-0000-0000-0000E80A0000}"/>
    <cellStyle name="style1358256383925 2 2 2" xfId="621" xr:uid="{00000000-0005-0000-0000-0000E90A0000}"/>
    <cellStyle name="style1358256383925 2 2 2 2" xfId="1738" xr:uid="{00000000-0005-0000-0000-0000EA0A0000}"/>
    <cellStyle name="style1358256383925 2 2 2 2 2" xfId="2938" xr:uid="{00000000-0005-0000-0000-0000EB0A0000}"/>
    <cellStyle name="style1358256383925 2 2 2 3" xfId="2937" xr:uid="{00000000-0005-0000-0000-0000EC0A0000}"/>
    <cellStyle name="style1358256383925 2 2 3" xfId="1737" xr:uid="{00000000-0005-0000-0000-0000ED0A0000}"/>
    <cellStyle name="style1358256383925 2 2 3 2" xfId="2939" xr:uid="{00000000-0005-0000-0000-0000EE0A0000}"/>
    <cellStyle name="style1358256383925 2 2 4" xfId="2936" xr:uid="{00000000-0005-0000-0000-0000EF0A0000}"/>
    <cellStyle name="style1358256383925 2 3" xfId="622" xr:uid="{00000000-0005-0000-0000-0000F00A0000}"/>
    <cellStyle name="style1358256383925 2 3 2" xfId="1739" xr:uid="{00000000-0005-0000-0000-0000F10A0000}"/>
    <cellStyle name="style1358256383925 2 3 2 2" xfId="2941" xr:uid="{00000000-0005-0000-0000-0000F20A0000}"/>
    <cellStyle name="style1358256383925 2 3 3" xfId="2940" xr:uid="{00000000-0005-0000-0000-0000F30A0000}"/>
    <cellStyle name="style1358256383925 2 4" xfId="1736" xr:uid="{00000000-0005-0000-0000-0000F40A0000}"/>
    <cellStyle name="style1358256383925 2 4 2" xfId="2942" xr:uid="{00000000-0005-0000-0000-0000F50A0000}"/>
    <cellStyle name="style1358256383925 2 5" xfId="2935" xr:uid="{00000000-0005-0000-0000-0000F60A0000}"/>
    <cellStyle name="style1358256383925 3" xfId="623" xr:uid="{00000000-0005-0000-0000-0000F70A0000}"/>
    <cellStyle name="style1358256383925 3 2" xfId="624" xr:uid="{00000000-0005-0000-0000-0000F80A0000}"/>
    <cellStyle name="style1358256383925 3 2 2" xfId="1741" xr:uid="{00000000-0005-0000-0000-0000F90A0000}"/>
    <cellStyle name="style1358256383925 3 2 2 2" xfId="2945" xr:uid="{00000000-0005-0000-0000-0000FA0A0000}"/>
    <cellStyle name="style1358256383925 3 2 3" xfId="2944" xr:uid="{00000000-0005-0000-0000-0000FB0A0000}"/>
    <cellStyle name="style1358256383925 3 3" xfId="1740" xr:uid="{00000000-0005-0000-0000-0000FC0A0000}"/>
    <cellStyle name="style1358256383925 3 3 2" xfId="2946" xr:uid="{00000000-0005-0000-0000-0000FD0A0000}"/>
    <cellStyle name="style1358256383925 3 4" xfId="2943" xr:uid="{00000000-0005-0000-0000-0000FE0A0000}"/>
    <cellStyle name="style1358256383925 4" xfId="625" xr:uid="{00000000-0005-0000-0000-0000FF0A0000}"/>
    <cellStyle name="style1358256383925 4 2" xfId="1742" xr:uid="{00000000-0005-0000-0000-0000000B0000}"/>
    <cellStyle name="style1358256383925 4 2 2" xfId="2948" xr:uid="{00000000-0005-0000-0000-0000010B0000}"/>
    <cellStyle name="style1358256383925 4 3" xfId="2947" xr:uid="{00000000-0005-0000-0000-0000020B0000}"/>
    <cellStyle name="style1358256383925 5" xfId="1735" xr:uid="{00000000-0005-0000-0000-0000030B0000}"/>
    <cellStyle name="style1358256383925 5 2" xfId="2949" xr:uid="{00000000-0005-0000-0000-0000040B0000}"/>
    <cellStyle name="style1358256383925 6" xfId="2934" xr:uid="{00000000-0005-0000-0000-0000050B0000}"/>
    <cellStyle name="style1358256383964" xfId="626" xr:uid="{00000000-0005-0000-0000-0000060B0000}"/>
    <cellStyle name="style1358256383964 10" xfId="1225" xr:uid="{00000000-0005-0000-0000-0000070B0000}"/>
    <cellStyle name="style1358256383964 10 2" xfId="2951" xr:uid="{00000000-0005-0000-0000-0000080B0000}"/>
    <cellStyle name="style1358256383964 11" xfId="1226" xr:uid="{00000000-0005-0000-0000-0000090B0000}"/>
    <cellStyle name="style1358256383964 11 2" xfId="2952" xr:uid="{00000000-0005-0000-0000-00000A0B0000}"/>
    <cellStyle name="style1358256383964 12" xfId="1227" xr:uid="{00000000-0005-0000-0000-00000B0B0000}"/>
    <cellStyle name="style1358256383964 12 2" xfId="2953" xr:uid="{00000000-0005-0000-0000-00000C0B0000}"/>
    <cellStyle name="style1358256383964 13" xfId="1228" xr:uid="{00000000-0005-0000-0000-00000D0B0000}"/>
    <cellStyle name="style1358256383964 13 2" xfId="2954" xr:uid="{00000000-0005-0000-0000-00000E0B0000}"/>
    <cellStyle name="style1358256383964 14" xfId="1229" xr:uid="{00000000-0005-0000-0000-00000F0B0000}"/>
    <cellStyle name="style1358256383964 14 2" xfId="2955" xr:uid="{00000000-0005-0000-0000-0000100B0000}"/>
    <cellStyle name="style1358256383964 15" xfId="1743" xr:uid="{00000000-0005-0000-0000-0000110B0000}"/>
    <cellStyle name="style1358256383964 15 2" xfId="2956" xr:uid="{00000000-0005-0000-0000-0000120B0000}"/>
    <cellStyle name="style1358256383964 16" xfId="2950" xr:uid="{00000000-0005-0000-0000-0000130B0000}"/>
    <cellStyle name="style1358256383964 2" xfId="627" xr:uid="{00000000-0005-0000-0000-0000140B0000}"/>
    <cellStyle name="style1358256383964 2 2" xfId="628" xr:uid="{00000000-0005-0000-0000-0000150B0000}"/>
    <cellStyle name="style1358256383964 2 2 2" xfId="629" xr:uid="{00000000-0005-0000-0000-0000160B0000}"/>
    <cellStyle name="style1358256383964 2 2 2 2" xfId="630" xr:uid="{00000000-0005-0000-0000-0000170B0000}"/>
    <cellStyle name="style1358256383964 2 2 2 2 2" xfId="1747" xr:uid="{00000000-0005-0000-0000-0000180B0000}"/>
    <cellStyle name="style1358256383964 2 2 2 2 2 2" xfId="2961" xr:uid="{00000000-0005-0000-0000-0000190B0000}"/>
    <cellStyle name="style1358256383964 2 2 2 2 3" xfId="2960" xr:uid="{00000000-0005-0000-0000-00001A0B0000}"/>
    <cellStyle name="style1358256383964 2 2 2 3" xfId="1746" xr:uid="{00000000-0005-0000-0000-00001B0B0000}"/>
    <cellStyle name="style1358256383964 2 2 2 3 2" xfId="2962" xr:uid="{00000000-0005-0000-0000-00001C0B0000}"/>
    <cellStyle name="style1358256383964 2 2 2 4" xfId="2959" xr:uid="{00000000-0005-0000-0000-00001D0B0000}"/>
    <cellStyle name="style1358256383964 2 2 3" xfId="631" xr:uid="{00000000-0005-0000-0000-00001E0B0000}"/>
    <cellStyle name="style1358256383964 2 2 3 2" xfId="1748" xr:uid="{00000000-0005-0000-0000-00001F0B0000}"/>
    <cellStyle name="style1358256383964 2 2 3 2 2" xfId="2964" xr:uid="{00000000-0005-0000-0000-0000200B0000}"/>
    <cellStyle name="style1358256383964 2 2 3 3" xfId="2963" xr:uid="{00000000-0005-0000-0000-0000210B0000}"/>
    <cellStyle name="style1358256383964 2 2 4" xfId="1745" xr:uid="{00000000-0005-0000-0000-0000220B0000}"/>
    <cellStyle name="style1358256383964 2 2 4 2" xfId="2965" xr:uid="{00000000-0005-0000-0000-0000230B0000}"/>
    <cellStyle name="style1358256383964 2 2 5" xfId="2958" xr:uid="{00000000-0005-0000-0000-0000240B0000}"/>
    <cellStyle name="style1358256383964 2 3" xfId="632" xr:uid="{00000000-0005-0000-0000-0000250B0000}"/>
    <cellStyle name="style1358256383964 2 3 2" xfId="633" xr:uid="{00000000-0005-0000-0000-0000260B0000}"/>
    <cellStyle name="style1358256383964 2 3 2 2" xfId="1750" xr:uid="{00000000-0005-0000-0000-0000270B0000}"/>
    <cellStyle name="style1358256383964 2 3 2 2 2" xfId="2968" xr:uid="{00000000-0005-0000-0000-0000280B0000}"/>
    <cellStyle name="style1358256383964 2 3 2 3" xfId="2967" xr:uid="{00000000-0005-0000-0000-0000290B0000}"/>
    <cellStyle name="style1358256383964 2 3 3" xfId="1749" xr:uid="{00000000-0005-0000-0000-00002A0B0000}"/>
    <cellStyle name="style1358256383964 2 3 3 2" xfId="2969" xr:uid="{00000000-0005-0000-0000-00002B0B0000}"/>
    <cellStyle name="style1358256383964 2 3 4" xfId="2966" xr:uid="{00000000-0005-0000-0000-00002C0B0000}"/>
    <cellStyle name="style1358256383964 2 4" xfId="634" xr:uid="{00000000-0005-0000-0000-00002D0B0000}"/>
    <cellStyle name="style1358256383964 2 4 2" xfId="1751" xr:uid="{00000000-0005-0000-0000-00002E0B0000}"/>
    <cellStyle name="style1358256383964 2 4 2 2" xfId="2971" xr:uid="{00000000-0005-0000-0000-00002F0B0000}"/>
    <cellStyle name="style1358256383964 2 4 3" xfId="2970" xr:uid="{00000000-0005-0000-0000-0000300B0000}"/>
    <cellStyle name="style1358256383964 2 5" xfId="724" xr:uid="{00000000-0005-0000-0000-0000310B0000}"/>
    <cellStyle name="style1358256383964 2 5 2" xfId="1752" xr:uid="{00000000-0005-0000-0000-0000320B0000}"/>
    <cellStyle name="style1358256383964 2 5 2 2" xfId="2973" xr:uid="{00000000-0005-0000-0000-0000330B0000}"/>
    <cellStyle name="style1358256383964 2 5 3" xfId="2972" xr:uid="{00000000-0005-0000-0000-0000340B0000}"/>
    <cellStyle name="style1358256383964 2 6" xfId="1744" xr:uid="{00000000-0005-0000-0000-0000350B0000}"/>
    <cellStyle name="style1358256383964 2 6 2" xfId="2974" xr:uid="{00000000-0005-0000-0000-0000360B0000}"/>
    <cellStyle name="style1358256383964 2 7" xfId="2957" xr:uid="{00000000-0005-0000-0000-0000370B0000}"/>
    <cellStyle name="style1358256383964 3" xfId="635" xr:uid="{00000000-0005-0000-0000-0000380B0000}"/>
    <cellStyle name="style1358256383964 3 2" xfId="636" xr:uid="{00000000-0005-0000-0000-0000390B0000}"/>
    <cellStyle name="style1358256383964 3 2 2" xfId="637" xr:uid="{00000000-0005-0000-0000-00003A0B0000}"/>
    <cellStyle name="style1358256383964 3 2 2 2" xfId="1755" xr:uid="{00000000-0005-0000-0000-00003B0B0000}"/>
    <cellStyle name="style1358256383964 3 2 2 2 2" xfId="2978" xr:uid="{00000000-0005-0000-0000-00003C0B0000}"/>
    <cellStyle name="style1358256383964 3 2 2 3" xfId="2977" xr:uid="{00000000-0005-0000-0000-00003D0B0000}"/>
    <cellStyle name="style1358256383964 3 2 3" xfId="1754" xr:uid="{00000000-0005-0000-0000-00003E0B0000}"/>
    <cellStyle name="style1358256383964 3 2 3 2" xfId="2979" xr:uid="{00000000-0005-0000-0000-00003F0B0000}"/>
    <cellStyle name="style1358256383964 3 2 4" xfId="2976" xr:uid="{00000000-0005-0000-0000-0000400B0000}"/>
    <cellStyle name="style1358256383964 3 3" xfId="638" xr:uid="{00000000-0005-0000-0000-0000410B0000}"/>
    <cellStyle name="style1358256383964 3 3 2" xfId="1756" xr:uid="{00000000-0005-0000-0000-0000420B0000}"/>
    <cellStyle name="style1358256383964 3 3 2 2" xfId="2981" xr:uid="{00000000-0005-0000-0000-0000430B0000}"/>
    <cellStyle name="style1358256383964 3 3 3" xfId="2980" xr:uid="{00000000-0005-0000-0000-0000440B0000}"/>
    <cellStyle name="style1358256383964 3 4" xfId="1753" xr:uid="{00000000-0005-0000-0000-0000450B0000}"/>
    <cellStyle name="style1358256383964 3 4 2" xfId="2982" xr:uid="{00000000-0005-0000-0000-0000460B0000}"/>
    <cellStyle name="style1358256383964 3 5" xfId="2975" xr:uid="{00000000-0005-0000-0000-0000470B0000}"/>
    <cellStyle name="style1358256383964 4" xfId="639" xr:uid="{00000000-0005-0000-0000-0000480B0000}"/>
    <cellStyle name="style1358256383964 4 2" xfId="640" xr:uid="{00000000-0005-0000-0000-0000490B0000}"/>
    <cellStyle name="style1358256383964 4 2 2" xfId="1758" xr:uid="{00000000-0005-0000-0000-00004A0B0000}"/>
    <cellStyle name="style1358256383964 4 2 2 2" xfId="2985" xr:uid="{00000000-0005-0000-0000-00004B0B0000}"/>
    <cellStyle name="style1358256383964 4 2 3" xfId="2984" xr:uid="{00000000-0005-0000-0000-00004C0B0000}"/>
    <cellStyle name="style1358256383964 4 3" xfId="1757" xr:uid="{00000000-0005-0000-0000-00004D0B0000}"/>
    <cellStyle name="style1358256383964 4 3 2" xfId="2986" xr:uid="{00000000-0005-0000-0000-00004E0B0000}"/>
    <cellStyle name="style1358256383964 4 4" xfId="2983" xr:uid="{00000000-0005-0000-0000-00004F0B0000}"/>
    <cellStyle name="style1358256383964 5" xfId="641" xr:uid="{00000000-0005-0000-0000-0000500B0000}"/>
    <cellStyle name="style1358256383964 5 2" xfId="1759" xr:uid="{00000000-0005-0000-0000-0000510B0000}"/>
    <cellStyle name="style1358256383964 5 2 2" xfId="2988" xr:uid="{00000000-0005-0000-0000-0000520B0000}"/>
    <cellStyle name="style1358256383964 5 3" xfId="2987" xr:uid="{00000000-0005-0000-0000-0000530B0000}"/>
    <cellStyle name="style1358256383964 6" xfId="1230" xr:uid="{00000000-0005-0000-0000-0000540B0000}"/>
    <cellStyle name="style1358256383964 6 2" xfId="2989" xr:uid="{00000000-0005-0000-0000-0000550B0000}"/>
    <cellStyle name="style1358256383964 7" xfId="1231" xr:uid="{00000000-0005-0000-0000-0000560B0000}"/>
    <cellStyle name="style1358256383964 7 2" xfId="2990" xr:uid="{00000000-0005-0000-0000-0000570B0000}"/>
    <cellStyle name="style1358256383964 8" xfId="1232" xr:uid="{00000000-0005-0000-0000-0000580B0000}"/>
    <cellStyle name="style1358256383964 8 2" xfId="2991" xr:uid="{00000000-0005-0000-0000-0000590B0000}"/>
    <cellStyle name="style1358256383964 9" xfId="1233" xr:uid="{00000000-0005-0000-0000-00005A0B0000}"/>
    <cellStyle name="style1358256383964 9 2" xfId="2992" xr:uid="{00000000-0005-0000-0000-00005B0B0000}"/>
    <cellStyle name="style1358256383988" xfId="642" xr:uid="{00000000-0005-0000-0000-00005C0B0000}"/>
    <cellStyle name="style1358256383988 10" xfId="1234" xr:uid="{00000000-0005-0000-0000-00005D0B0000}"/>
    <cellStyle name="style1358256383988 10 2" xfId="2994" xr:uid="{00000000-0005-0000-0000-00005E0B0000}"/>
    <cellStyle name="style1358256383988 11" xfId="1235" xr:uid="{00000000-0005-0000-0000-00005F0B0000}"/>
    <cellStyle name="style1358256383988 11 2" xfId="2995" xr:uid="{00000000-0005-0000-0000-0000600B0000}"/>
    <cellStyle name="style1358256383988 12" xfId="1236" xr:uid="{00000000-0005-0000-0000-0000610B0000}"/>
    <cellStyle name="style1358256383988 12 2" xfId="2996" xr:uid="{00000000-0005-0000-0000-0000620B0000}"/>
    <cellStyle name="style1358256383988 13" xfId="1237" xr:uid="{00000000-0005-0000-0000-0000630B0000}"/>
    <cellStyle name="style1358256383988 13 2" xfId="2997" xr:uid="{00000000-0005-0000-0000-0000640B0000}"/>
    <cellStyle name="style1358256383988 14" xfId="1238" xr:uid="{00000000-0005-0000-0000-0000650B0000}"/>
    <cellStyle name="style1358256383988 14 2" xfId="2998" xr:uid="{00000000-0005-0000-0000-0000660B0000}"/>
    <cellStyle name="style1358256383988 15" xfId="1760" xr:uid="{00000000-0005-0000-0000-0000670B0000}"/>
    <cellStyle name="style1358256383988 15 2" xfId="2999" xr:uid="{00000000-0005-0000-0000-0000680B0000}"/>
    <cellStyle name="style1358256383988 16" xfId="2993" xr:uid="{00000000-0005-0000-0000-0000690B0000}"/>
    <cellStyle name="style1358256383988 2" xfId="643" xr:uid="{00000000-0005-0000-0000-00006A0B0000}"/>
    <cellStyle name="style1358256383988 2 2" xfId="644" xr:uid="{00000000-0005-0000-0000-00006B0B0000}"/>
    <cellStyle name="style1358256383988 2 2 2" xfId="645" xr:uid="{00000000-0005-0000-0000-00006C0B0000}"/>
    <cellStyle name="style1358256383988 2 2 2 2" xfId="646" xr:uid="{00000000-0005-0000-0000-00006D0B0000}"/>
    <cellStyle name="style1358256383988 2 2 2 2 2" xfId="1764" xr:uid="{00000000-0005-0000-0000-00006E0B0000}"/>
    <cellStyle name="style1358256383988 2 2 2 2 2 2" xfId="3004" xr:uid="{00000000-0005-0000-0000-00006F0B0000}"/>
    <cellStyle name="style1358256383988 2 2 2 2 3" xfId="3003" xr:uid="{00000000-0005-0000-0000-0000700B0000}"/>
    <cellStyle name="style1358256383988 2 2 2 3" xfId="1763" xr:uid="{00000000-0005-0000-0000-0000710B0000}"/>
    <cellStyle name="style1358256383988 2 2 2 3 2" xfId="3005" xr:uid="{00000000-0005-0000-0000-0000720B0000}"/>
    <cellStyle name="style1358256383988 2 2 2 4" xfId="3002" xr:uid="{00000000-0005-0000-0000-0000730B0000}"/>
    <cellStyle name="style1358256383988 2 2 3" xfId="647" xr:uid="{00000000-0005-0000-0000-0000740B0000}"/>
    <cellStyle name="style1358256383988 2 2 3 2" xfId="1765" xr:uid="{00000000-0005-0000-0000-0000750B0000}"/>
    <cellStyle name="style1358256383988 2 2 3 2 2" xfId="3007" xr:uid="{00000000-0005-0000-0000-0000760B0000}"/>
    <cellStyle name="style1358256383988 2 2 3 3" xfId="3006" xr:uid="{00000000-0005-0000-0000-0000770B0000}"/>
    <cellStyle name="style1358256383988 2 2 4" xfId="1762" xr:uid="{00000000-0005-0000-0000-0000780B0000}"/>
    <cellStyle name="style1358256383988 2 2 4 2" xfId="3008" xr:uid="{00000000-0005-0000-0000-0000790B0000}"/>
    <cellStyle name="style1358256383988 2 2 5" xfId="3001" xr:uid="{00000000-0005-0000-0000-00007A0B0000}"/>
    <cellStyle name="style1358256383988 2 3" xfId="648" xr:uid="{00000000-0005-0000-0000-00007B0B0000}"/>
    <cellStyle name="style1358256383988 2 3 2" xfId="649" xr:uid="{00000000-0005-0000-0000-00007C0B0000}"/>
    <cellStyle name="style1358256383988 2 3 2 2" xfId="1767" xr:uid="{00000000-0005-0000-0000-00007D0B0000}"/>
    <cellStyle name="style1358256383988 2 3 2 2 2" xfId="3011" xr:uid="{00000000-0005-0000-0000-00007E0B0000}"/>
    <cellStyle name="style1358256383988 2 3 2 3" xfId="3010" xr:uid="{00000000-0005-0000-0000-00007F0B0000}"/>
    <cellStyle name="style1358256383988 2 3 3" xfId="1766" xr:uid="{00000000-0005-0000-0000-0000800B0000}"/>
    <cellStyle name="style1358256383988 2 3 3 2" xfId="3012" xr:uid="{00000000-0005-0000-0000-0000810B0000}"/>
    <cellStyle name="style1358256383988 2 3 4" xfId="3009" xr:uid="{00000000-0005-0000-0000-0000820B0000}"/>
    <cellStyle name="style1358256383988 2 4" xfId="650" xr:uid="{00000000-0005-0000-0000-0000830B0000}"/>
    <cellStyle name="style1358256383988 2 4 2" xfId="1768" xr:uid="{00000000-0005-0000-0000-0000840B0000}"/>
    <cellStyle name="style1358256383988 2 4 2 2" xfId="3014" xr:uid="{00000000-0005-0000-0000-0000850B0000}"/>
    <cellStyle name="style1358256383988 2 4 3" xfId="3013" xr:uid="{00000000-0005-0000-0000-0000860B0000}"/>
    <cellStyle name="style1358256383988 2 5" xfId="725" xr:uid="{00000000-0005-0000-0000-0000870B0000}"/>
    <cellStyle name="style1358256383988 2 5 2" xfId="1769" xr:uid="{00000000-0005-0000-0000-0000880B0000}"/>
    <cellStyle name="style1358256383988 2 5 2 2" xfId="3016" xr:uid="{00000000-0005-0000-0000-0000890B0000}"/>
    <cellStyle name="style1358256383988 2 5 3" xfId="3015" xr:uid="{00000000-0005-0000-0000-00008A0B0000}"/>
    <cellStyle name="style1358256383988 2 6" xfId="1761" xr:uid="{00000000-0005-0000-0000-00008B0B0000}"/>
    <cellStyle name="style1358256383988 2 6 2" xfId="3017" xr:uid="{00000000-0005-0000-0000-00008C0B0000}"/>
    <cellStyle name="style1358256383988 2 7" xfId="3000" xr:uid="{00000000-0005-0000-0000-00008D0B0000}"/>
    <cellStyle name="style1358256383988 3" xfId="651" xr:uid="{00000000-0005-0000-0000-00008E0B0000}"/>
    <cellStyle name="style1358256383988 3 2" xfId="652" xr:uid="{00000000-0005-0000-0000-00008F0B0000}"/>
    <cellStyle name="style1358256383988 3 2 2" xfId="653" xr:uid="{00000000-0005-0000-0000-0000900B0000}"/>
    <cellStyle name="style1358256383988 3 2 2 2" xfId="1772" xr:uid="{00000000-0005-0000-0000-0000910B0000}"/>
    <cellStyle name="style1358256383988 3 2 2 2 2" xfId="3021" xr:uid="{00000000-0005-0000-0000-0000920B0000}"/>
    <cellStyle name="style1358256383988 3 2 2 3" xfId="3020" xr:uid="{00000000-0005-0000-0000-0000930B0000}"/>
    <cellStyle name="style1358256383988 3 2 3" xfId="1771" xr:uid="{00000000-0005-0000-0000-0000940B0000}"/>
    <cellStyle name="style1358256383988 3 2 3 2" xfId="3022" xr:uid="{00000000-0005-0000-0000-0000950B0000}"/>
    <cellStyle name="style1358256383988 3 2 4" xfId="3019" xr:uid="{00000000-0005-0000-0000-0000960B0000}"/>
    <cellStyle name="style1358256383988 3 3" xfId="654" xr:uid="{00000000-0005-0000-0000-0000970B0000}"/>
    <cellStyle name="style1358256383988 3 3 2" xfId="1773" xr:uid="{00000000-0005-0000-0000-0000980B0000}"/>
    <cellStyle name="style1358256383988 3 3 2 2" xfId="3024" xr:uid="{00000000-0005-0000-0000-0000990B0000}"/>
    <cellStyle name="style1358256383988 3 3 3" xfId="3023" xr:uid="{00000000-0005-0000-0000-00009A0B0000}"/>
    <cellStyle name="style1358256383988 3 4" xfId="1770" xr:uid="{00000000-0005-0000-0000-00009B0B0000}"/>
    <cellStyle name="style1358256383988 3 4 2" xfId="3025" xr:uid="{00000000-0005-0000-0000-00009C0B0000}"/>
    <cellStyle name="style1358256383988 3 5" xfId="3018" xr:uid="{00000000-0005-0000-0000-00009D0B0000}"/>
    <cellStyle name="style1358256383988 4" xfId="655" xr:uid="{00000000-0005-0000-0000-00009E0B0000}"/>
    <cellStyle name="style1358256383988 4 2" xfId="656" xr:uid="{00000000-0005-0000-0000-00009F0B0000}"/>
    <cellStyle name="style1358256383988 4 2 2" xfId="1775" xr:uid="{00000000-0005-0000-0000-0000A00B0000}"/>
    <cellStyle name="style1358256383988 4 2 2 2" xfId="3028" xr:uid="{00000000-0005-0000-0000-0000A10B0000}"/>
    <cellStyle name="style1358256383988 4 2 3" xfId="3027" xr:uid="{00000000-0005-0000-0000-0000A20B0000}"/>
    <cellStyle name="style1358256383988 4 3" xfId="1774" xr:uid="{00000000-0005-0000-0000-0000A30B0000}"/>
    <cellStyle name="style1358256383988 4 3 2" xfId="3029" xr:uid="{00000000-0005-0000-0000-0000A40B0000}"/>
    <cellStyle name="style1358256383988 4 4" xfId="3026" xr:uid="{00000000-0005-0000-0000-0000A50B0000}"/>
    <cellStyle name="style1358256383988 5" xfId="657" xr:uid="{00000000-0005-0000-0000-0000A60B0000}"/>
    <cellStyle name="style1358256383988 5 2" xfId="1776" xr:uid="{00000000-0005-0000-0000-0000A70B0000}"/>
    <cellStyle name="style1358256383988 5 2 2" xfId="3031" xr:uid="{00000000-0005-0000-0000-0000A80B0000}"/>
    <cellStyle name="style1358256383988 5 3" xfId="3030" xr:uid="{00000000-0005-0000-0000-0000A90B0000}"/>
    <cellStyle name="style1358256383988 6" xfId="1239" xr:uid="{00000000-0005-0000-0000-0000AA0B0000}"/>
    <cellStyle name="style1358256383988 6 2" xfId="3032" xr:uid="{00000000-0005-0000-0000-0000AB0B0000}"/>
    <cellStyle name="style1358256383988 7" xfId="1240" xr:uid="{00000000-0005-0000-0000-0000AC0B0000}"/>
    <cellStyle name="style1358256383988 7 2" xfId="3033" xr:uid="{00000000-0005-0000-0000-0000AD0B0000}"/>
    <cellStyle name="style1358256383988 8" xfId="1241" xr:uid="{00000000-0005-0000-0000-0000AE0B0000}"/>
    <cellStyle name="style1358256383988 8 2" xfId="3034" xr:uid="{00000000-0005-0000-0000-0000AF0B0000}"/>
    <cellStyle name="style1358256383988 9" xfId="1242" xr:uid="{00000000-0005-0000-0000-0000B00B0000}"/>
    <cellStyle name="style1358256383988 9 2" xfId="3035" xr:uid="{00000000-0005-0000-0000-0000B10B0000}"/>
    <cellStyle name="style1358256384015" xfId="658" xr:uid="{00000000-0005-0000-0000-0000B20B0000}"/>
    <cellStyle name="style1358256384015 2" xfId="659" xr:uid="{00000000-0005-0000-0000-0000B30B0000}"/>
    <cellStyle name="style1358256384015 2 2" xfId="660" xr:uid="{00000000-0005-0000-0000-0000B40B0000}"/>
    <cellStyle name="style1358256384015 2 2 2" xfId="661" xr:uid="{00000000-0005-0000-0000-0000B50B0000}"/>
    <cellStyle name="style1358256384015 2 2 2 2" xfId="1780" xr:uid="{00000000-0005-0000-0000-0000B60B0000}"/>
    <cellStyle name="style1358256384015 2 2 2 2 2" xfId="3040" xr:uid="{00000000-0005-0000-0000-0000B70B0000}"/>
    <cellStyle name="style1358256384015 2 2 2 3" xfId="3039" xr:uid="{00000000-0005-0000-0000-0000B80B0000}"/>
    <cellStyle name="style1358256384015 2 2 3" xfId="1779" xr:uid="{00000000-0005-0000-0000-0000B90B0000}"/>
    <cellStyle name="style1358256384015 2 2 3 2" xfId="3041" xr:uid="{00000000-0005-0000-0000-0000BA0B0000}"/>
    <cellStyle name="style1358256384015 2 2 4" xfId="3038" xr:uid="{00000000-0005-0000-0000-0000BB0B0000}"/>
    <cellStyle name="style1358256384015 2 3" xfId="662" xr:uid="{00000000-0005-0000-0000-0000BC0B0000}"/>
    <cellStyle name="style1358256384015 2 3 2" xfId="1781" xr:uid="{00000000-0005-0000-0000-0000BD0B0000}"/>
    <cellStyle name="style1358256384015 2 3 2 2" xfId="3043" xr:uid="{00000000-0005-0000-0000-0000BE0B0000}"/>
    <cellStyle name="style1358256384015 2 3 3" xfId="3042" xr:uid="{00000000-0005-0000-0000-0000BF0B0000}"/>
    <cellStyle name="style1358256384015 2 4" xfId="1778" xr:uid="{00000000-0005-0000-0000-0000C00B0000}"/>
    <cellStyle name="style1358256384015 2 4 2" xfId="3044" xr:uid="{00000000-0005-0000-0000-0000C10B0000}"/>
    <cellStyle name="style1358256384015 2 5" xfId="3037" xr:uid="{00000000-0005-0000-0000-0000C20B0000}"/>
    <cellStyle name="style1358256384015 3" xfId="663" xr:uid="{00000000-0005-0000-0000-0000C30B0000}"/>
    <cellStyle name="style1358256384015 3 2" xfId="664" xr:uid="{00000000-0005-0000-0000-0000C40B0000}"/>
    <cellStyle name="style1358256384015 3 2 2" xfId="1783" xr:uid="{00000000-0005-0000-0000-0000C50B0000}"/>
    <cellStyle name="style1358256384015 3 2 2 2" xfId="3047" xr:uid="{00000000-0005-0000-0000-0000C60B0000}"/>
    <cellStyle name="style1358256384015 3 2 3" xfId="3046" xr:uid="{00000000-0005-0000-0000-0000C70B0000}"/>
    <cellStyle name="style1358256384015 3 3" xfId="1782" xr:uid="{00000000-0005-0000-0000-0000C80B0000}"/>
    <cellStyle name="style1358256384015 3 3 2" xfId="3048" xr:uid="{00000000-0005-0000-0000-0000C90B0000}"/>
    <cellStyle name="style1358256384015 3 4" xfId="3045" xr:uid="{00000000-0005-0000-0000-0000CA0B0000}"/>
    <cellStyle name="style1358256384015 4" xfId="665" xr:uid="{00000000-0005-0000-0000-0000CB0B0000}"/>
    <cellStyle name="style1358256384015 4 2" xfId="1784" xr:uid="{00000000-0005-0000-0000-0000CC0B0000}"/>
    <cellStyle name="style1358256384015 4 2 2" xfId="3050" xr:uid="{00000000-0005-0000-0000-0000CD0B0000}"/>
    <cellStyle name="style1358256384015 4 3" xfId="3049" xr:uid="{00000000-0005-0000-0000-0000CE0B0000}"/>
    <cellStyle name="style1358256384015 5" xfId="1777" xr:uid="{00000000-0005-0000-0000-0000CF0B0000}"/>
    <cellStyle name="style1358256384015 5 2" xfId="3051" xr:uid="{00000000-0005-0000-0000-0000D00B0000}"/>
    <cellStyle name="style1358256384015 6" xfId="3036" xr:uid="{00000000-0005-0000-0000-0000D10B0000}"/>
    <cellStyle name="style1358256384122" xfId="666" xr:uid="{00000000-0005-0000-0000-0000D20B0000}"/>
    <cellStyle name="style1358256384122 2" xfId="667" xr:uid="{00000000-0005-0000-0000-0000D30B0000}"/>
    <cellStyle name="style1358256384122 2 2" xfId="668" xr:uid="{00000000-0005-0000-0000-0000D40B0000}"/>
    <cellStyle name="style1358256384122 2 2 2" xfId="669" xr:uid="{00000000-0005-0000-0000-0000D50B0000}"/>
    <cellStyle name="style1358256384122 2 2 2 2" xfId="1788" xr:uid="{00000000-0005-0000-0000-0000D60B0000}"/>
    <cellStyle name="style1358256384122 2 2 2 2 2" xfId="3056" xr:uid="{00000000-0005-0000-0000-0000D70B0000}"/>
    <cellStyle name="style1358256384122 2 2 2 3" xfId="3055" xr:uid="{00000000-0005-0000-0000-0000D80B0000}"/>
    <cellStyle name="style1358256384122 2 2 3" xfId="1787" xr:uid="{00000000-0005-0000-0000-0000D90B0000}"/>
    <cellStyle name="style1358256384122 2 2 3 2" xfId="3057" xr:uid="{00000000-0005-0000-0000-0000DA0B0000}"/>
    <cellStyle name="style1358256384122 2 2 4" xfId="3054" xr:uid="{00000000-0005-0000-0000-0000DB0B0000}"/>
    <cellStyle name="style1358256384122 2 3" xfId="670" xr:uid="{00000000-0005-0000-0000-0000DC0B0000}"/>
    <cellStyle name="style1358256384122 2 3 2" xfId="1789" xr:uid="{00000000-0005-0000-0000-0000DD0B0000}"/>
    <cellStyle name="style1358256384122 2 3 2 2" xfId="3059" xr:uid="{00000000-0005-0000-0000-0000DE0B0000}"/>
    <cellStyle name="style1358256384122 2 3 3" xfId="3058" xr:uid="{00000000-0005-0000-0000-0000DF0B0000}"/>
    <cellStyle name="style1358256384122 2 4" xfId="1786" xr:uid="{00000000-0005-0000-0000-0000E00B0000}"/>
    <cellStyle name="style1358256384122 2 4 2" xfId="3060" xr:uid="{00000000-0005-0000-0000-0000E10B0000}"/>
    <cellStyle name="style1358256384122 2 5" xfId="3053" xr:uid="{00000000-0005-0000-0000-0000E20B0000}"/>
    <cellStyle name="style1358256384122 3" xfId="671" xr:uid="{00000000-0005-0000-0000-0000E30B0000}"/>
    <cellStyle name="style1358256384122 3 2" xfId="672" xr:uid="{00000000-0005-0000-0000-0000E40B0000}"/>
    <cellStyle name="style1358256384122 3 2 2" xfId="1791" xr:uid="{00000000-0005-0000-0000-0000E50B0000}"/>
    <cellStyle name="style1358256384122 3 2 2 2" xfId="3063" xr:uid="{00000000-0005-0000-0000-0000E60B0000}"/>
    <cellStyle name="style1358256384122 3 2 3" xfId="3062" xr:uid="{00000000-0005-0000-0000-0000E70B0000}"/>
    <cellStyle name="style1358256384122 3 3" xfId="1790" xr:uid="{00000000-0005-0000-0000-0000E80B0000}"/>
    <cellStyle name="style1358256384122 3 3 2" xfId="3064" xr:uid="{00000000-0005-0000-0000-0000E90B0000}"/>
    <cellStyle name="style1358256384122 3 4" xfId="3061" xr:uid="{00000000-0005-0000-0000-0000EA0B0000}"/>
    <cellStyle name="style1358256384122 4" xfId="673" xr:uid="{00000000-0005-0000-0000-0000EB0B0000}"/>
    <cellStyle name="style1358256384122 4 2" xfId="1792" xr:uid="{00000000-0005-0000-0000-0000EC0B0000}"/>
    <cellStyle name="style1358256384122 4 2 2" xfId="3066" xr:uid="{00000000-0005-0000-0000-0000ED0B0000}"/>
    <cellStyle name="style1358256384122 4 3" xfId="3065" xr:uid="{00000000-0005-0000-0000-0000EE0B0000}"/>
    <cellStyle name="style1358256384122 5" xfId="1785" xr:uid="{00000000-0005-0000-0000-0000EF0B0000}"/>
    <cellStyle name="style1358256384122 5 2" xfId="3067" xr:uid="{00000000-0005-0000-0000-0000F00B0000}"/>
    <cellStyle name="style1358256384122 6" xfId="3052" xr:uid="{00000000-0005-0000-0000-0000F10B0000}"/>
    <cellStyle name="style1358256384155" xfId="674" xr:uid="{00000000-0005-0000-0000-0000F20B0000}"/>
    <cellStyle name="style1358256384155 2" xfId="675" xr:uid="{00000000-0005-0000-0000-0000F30B0000}"/>
    <cellStyle name="style1358256384155 2 2" xfId="676" xr:uid="{00000000-0005-0000-0000-0000F40B0000}"/>
    <cellStyle name="style1358256384155 2 2 2" xfId="677" xr:uid="{00000000-0005-0000-0000-0000F50B0000}"/>
    <cellStyle name="style1358256384155 2 2 2 2" xfId="1796" xr:uid="{00000000-0005-0000-0000-0000F60B0000}"/>
    <cellStyle name="style1358256384155 2 2 2 2 2" xfId="3072" xr:uid="{00000000-0005-0000-0000-0000F70B0000}"/>
    <cellStyle name="style1358256384155 2 2 2 3" xfId="3071" xr:uid="{00000000-0005-0000-0000-0000F80B0000}"/>
    <cellStyle name="style1358256384155 2 2 3" xfId="1795" xr:uid="{00000000-0005-0000-0000-0000F90B0000}"/>
    <cellStyle name="style1358256384155 2 2 3 2" xfId="3073" xr:uid="{00000000-0005-0000-0000-0000FA0B0000}"/>
    <cellStyle name="style1358256384155 2 2 4" xfId="3070" xr:uid="{00000000-0005-0000-0000-0000FB0B0000}"/>
    <cellStyle name="style1358256384155 2 3" xfId="678" xr:uid="{00000000-0005-0000-0000-0000FC0B0000}"/>
    <cellStyle name="style1358256384155 2 3 2" xfId="1797" xr:uid="{00000000-0005-0000-0000-0000FD0B0000}"/>
    <cellStyle name="style1358256384155 2 3 2 2" xfId="3075" xr:uid="{00000000-0005-0000-0000-0000FE0B0000}"/>
    <cellStyle name="style1358256384155 2 3 3" xfId="3074" xr:uid="{00000000-0005-0000-0000-0000FF0B0000}"/>
    <cellStyle name="style1358256384155 2 4" xfId="1794" xr:uid="{00000000-0005-0000-0000-0000000C0000}"/>
    <cellStyle name="style1358256384155 2 4 2" xfId="3076" xr:uid="{00000000-0005-0000-0000-0000010C0000}"/>
    <cellStyle name="style1358256384155 2 5" xfId="3069" xr:uid="{00000000-0005-0000-0000-0000020C0000}"/>
    <cellStyle name="style1358256384155 3" xfId="679" xr:uid="{00000000-0005-0000-0000-0000030C0000}"/>
    <cellStyle name="style1358256384155 3 2" xfId="680" xr:uid="{00000000-0005-0000-0000-0000040C0000}"/>
    <cellStyle name="style1358256384155 3 2 2" xfId="1799" xr:uid="{00000000-0005-0000-0000-0000050C0000}"/>
    <cellStyle name="style1358256384155 3 2 2 2" xfId="3079" xr:uid="{00000000-0005-0000-0000-0000060C0000}"/>
    <cellStyle name="style1358256384155 3 2 3" xfId="3078" xr:uid="{00000000-0005-0000-0000-0000070C0000}"/>
    <cellStyle name="style1358256384155 3 3" xfId="1798" xr:uid="{00000000-0005-0000-0000-0000080C0000}"/>
    <cellStyle name="style1358256384155 3 3 2" xfId="3080" xr:uid="{00000000-0005-0000-0000-0000090C0000}"/>
    <cellStyle name="style1358256384155 3 4" xfId="3077" xr:uid="{00000000-0005-0000-0000-00000A0C0000}"/>
    <cellStyle name="style1358256384155 4" xfId="681" xr:uid="{00000000-0005-0000-0000-00000B0C0000}"/>
    <cellStyle name="style1358256384155 4 2" xfId="1800" xr:uid="{00000000-0005-0000-0000-00000C0C0000}"/>
    <cellStyle name="style1358256384155 4 2 2" xfId="3082" xr:uid="{00000000-0005-0000-0000-00000D0C0000}"/>
    <cellStyle name="style1358256384155 4 3" xfId="3081" xr:uid="{00000000-0005-0000-0000-00000E0C0000}"/>
    <cellStyle name="style1358256384155 5" xfId="1793" xr:uid="{00000000-0005-0000-0000-00000F0C0000}"/>
    <cellStyle name="style1358256384155 5 2" xfId="3083" xr:uid="{00000000-0005-0000-0000-0000100C0000}"/>
    <cellStyle name="style1358256384155 6" xfId="3068" xr:uid="{00000000-0005-0000-0000-0000110C0000}"/>
    <cellStyle name="style1358256384186" xfId="682" xr:uid="{00000000-0005-0000-0000-0000120C0000}"/>
    <cellStyle name="style1358256384186 2" xfId="683" xr:uid="{00000000-0005-0000-0000-0000130C0000}"/>
    <cellStyle name="style1358256384186 2 2" xfId="684" xr:uid="{00000000-0005-0000-0000-0000140C0000}"/>
    <cellStyle name="style1358256384186 2 2 2" xfId="685" xr:uid="{00000000-0005-0000-0000-0000150C0000}"/>
    <cellStyle name="style1358256384186 2 2 2 2" xfId="1804" xr:uid="{00000000-0005-0000-0000-0000160C0000}"/>
    <cellStyle name="style1358256384186 2 2 2 2 2" xfId="3088" xr:uid="{00000000-0005-0000-0000-0000170C0000}"/>
    <cellStyle name="style1358256384186 2 2 2 3" xfId="3087" xr:uid="{00000000-0005-0000-0000-0000180C0000}"/>
    <cellStyle name="style1358256384186 2 2 3" xfId="1803" xr:uid="{00000000-0005-0000-0000-0000190C0000}"/>
    <cellStyle name="style1358256384186 2 2 3 2" xfId="3089" xr:uid="{00000000-0005-0000-0000-00001A0C0000}"/>
    <cellStyle name="style1358256384186 2 2 4" xfId="3086" xr:uid="{00000000-0005-0000-0000-00001B0C0000}"/>
    <cellStyle name="style1358256384186 2 3" xfId="686" xr:uid="{00000000-0005-0000-0000-00001C0C0000}"/>
    <cellStyle name="style1358256384186 2 3 2" xfId="1805" xr:uid="{00000000-0005-0000-0000-00001D0C0000}"/>
    <cellStyle name="style1358256384186 2 3 2 2" xfId="3091" xr:uid="{00000000-0005-0000-0000-00001E0C0000}"/>
    <cellStyle name="style1358256384186 2 3 3" xfId="3090" xr:uid="{00000000-0005-0000-0000-00001F0C0000}"/>
    <cellStyle name="style1358256384186 2 4" xfId="1802" xr:uid="{00000000-0005-0000-0000-0000200C0000}"/>
    <cellStyle name="style1358256384186 2 4 2" xfId="3092" xr:uid="{00000000-0005-0000-0000-0000210C0000}"/>
    <cellStyle name="style1358256384186 2 5" xfId="3085" xr:uid="{00000000-0005-0000-0000-0000220C0000}"/>
    <cellStyle name="style1358256384186 3" xfId="687" xr:uid="{00000000-0005-0000-0000-0000230C0000}"/>
    <cellStyle name="style1358256384186 3 2" xfId="688" xr:uid="{00000000-0005-0000-0000-0000240C0000}"/>
    <cellStyle name="style1358256384186 3 2 2" xfId="1807" xr:uid="{00000000-0005-0000-0000-0000250C0000}"/>
    <cellStyle name="style1358256384186 3 2 2 2" xfId="3095" xr:uid="{00000000-0005-0000-0000-0000260C0000}"/>
    <cellStyle name="style1358256384186 3 2 3" xfId="3094" xr:uid="{00000000-0005-0000-0000-0000270C0000}"/>
    <cellStyle name="style1358256384186 3 3" xfId="1806" xr:uid="{00000000-0005-0000-0000-0000280C0000}"/>
    <cellStyle name="style1358256384186 3 3 2" xfId="3096" xr:uid="{00000000-0005-0000-0000-0000290C0000}"/>
    <cellStyle name="style1358256384186 3 4" xfId="3093" xr:uid="{00000000-0005-0000-0000-00002A0C0000}"/>
    <cellStyle name="style1358256384186 4" xfId="689" xr:uid="{00000000-0005-0000-0000-00002B0C0000}"/>
    <cellStyle name="style1358256384186 4 2" xfId="1808" xr:uid="{00000000-0005-0000-0000-00002C0C0000}"/>
    <cellStyle name="style1358256384186 4 2 2" xfId="3098" xr:uid="{00000000-0005-0000-0000-00002D0C0000}"/>
    <cellStyle name="style1358256384186 4 3" xfId="3097" xr:uid="{00000000-0005-0000-0000-00002E0C0000}"/>
    <cellStyle name="style1358256384186 5" xfId="1801" xr:uid="{00000000-0005-0000-0000-00002F0C0000}"/>
    <cellStyle name="style1358256384186 5 2" xfId="3099" xr:uid="{00000000-0005-0000-0000-0000300C0000}"/>
    <cellStyle name="style1358256384186 6" xfId="3084" xr:uid="{00000000-0005-0000-0000-0000310C0000}"/>
    <cellStyle name="style1416492838596" xfId="690" xr:uid="{00000000-0005-0000-0000-0000320C0000}"/>
    <cellStyle name="style1416492838596 2" xfId="1809" xr:uid="{00000000-0005-0000-0000-0000330C0000}"/>
    <cellStyle name="style1416492838596 2 2" xfId="3101" xr:uid="{00000000-0005-0000-0000-0000340C0000}"/>
    <cellStyle name="style1416492838596 3" xfId="3100" xr:uid="{00000000-0005-0000-0000-0000350C0000}"/>
    <cellStyle name="style1416492838641" xfId="691" xr:uid="{00000000-0005-0000-0000-0000360C0000}"/>
    <cellStyle name="style1416492838641 2" xfId="1810" xr:uid="{00000000-0005-0000-0000-0000370C0000}"/>
    <cellStyle name="style1416492838641 2 2" xfId="3103" xr:uid="{00000000-0005-0000-0000-0000380C0000}"/>
    <cellStyle name="style1416492838641 3" xfId="3102" xr:uid="{00000000-0005-0000-0000-0000390C0000}"/>
    <cellStyle name="style1416492838687" xfId="692" xr:uid="{00000000-0005-0000-0000-00003A0C0000}"/>
    <cellStyle name="style1416492838687 2" xfId="1811" xr:uid="{00000000-0005-0000-0000-00003B0C0000}"/>
    <cellStyle name="style1416492838687 2 2" xfId="3105" xr:uid="{00000000-0005-0000-0000-00003C0C0000}"/>
    <cellStyle name="style1416492838687 3" xfId="3104" xr:uid="{00000000-0005-0000-0000-00003D0C0000}"/>
    <cellStyle name="style1416492838735" xfId="693" xr:uid="{00000000-0005-0000-0000-00003E0C0000}"/>
    <cellStyle name="style1416492838735 2" xfId="1812" xr:uid="{00000000-0005-0000-0000-00003F0C0000}"/>
    <cellStyle name="style1416492838735 2 2" xfId="3107" xr:uid="{00000000-0005-0000-0000-0000400C0000}"/>
    <cellStyle name="style1416492838735 3" xfId="3106" xr:uid="{00000000-0005-0000-0000-0000410C0000}"/>
    <cellStyle name="style1416492838971" xfId="694" xr:uid="{00000000-0005-0000-0000-0000420C0000}"/>
    <cellStyle name="style1416492838971 2" xfId="1813" xr:uid="{00000000-0005-0000-0000-0000430C0000}"/>
    <cellStyle name="style1416492838971 2 2" xfId="3109" xr:uid="{00000000-0005-0000-0000-0000440C0000}"/>
    <cellStyle name="style1416492838971 3" xfId="3108" xr:uid="{00000000-0005-0000-0000-0000450C0000}"/>
    <cellStyle name="style1416492839045" xfId="695" xr:uid="{00000000-0005-0000-0000-0000460C0000}"/>
    <cellStyle name="style1416492839045 2" xfId="1814" xr:uid="{00000000-0005-0000-0000-0000470C0000}"/>
    <cellStyle name="style1416492839045 2 2" xfId="3111" xr:uid="{00000000-0005-0000-0000-0000480C0000}"/>
    <cellStyle name="style1416492839045 3" xfId="3110" xr:uid="{00000000-0005-0000-0000-0000490C0000}"/>
    <cellStyle name="style1416492839118" xfId="696" xr:uid="{00000000-0005-0000-0000-00004A0C0000}"/>
    <cellStyle name="style1416492839118 2" xfId="1815" xr:uid="{00000000-0005-0000-0000-00004B0C0000}"/>
    <cellStyle name="style1416492839118 2 2" xfId="3113" xr:uid="{00000000-0005-0000-0000-00004C0C0000}"/>
    <cellStyle name="style1416492839118 3" xfId="3112" xr:uid="{00000000-0005-0000-0000-00004D0C0000}"/>
    <cellStyle name="style1416492839237" xfId="697" xr:uid="{00000000-0005-0000-0000-00004E0C0000}"/>
    <cellStyle name="style1416492839237 2" xfId="1816" xr:uid="{00000000-0005-0000-0000-00004F0C0000}"/>
    <cellStyle name="style1416492839237 2 2" xfId="3115" xr:uid="{00000000-0005-0000-0000-0000500C0000}"/>
    <cellStyle name="style1416492839237 3" xfId="3114" xr:uid="{00000000-0005-0000-0000-0000510C0000}"/>
    <cellStyle name="style1416492839306" xfId="698" xr:uid="{00000000-0005-0000-0000-0000520C0000}"/>
    <cellStyle name="style1416492839306 2" xfId="1817" xr:uid="{00000000-0005-0000-0000-0000530C0000}"/>
    <cellStyle name="style1416492839306 2 2" xfId="3117" xr:uid="{00000000-0005-0000-0000-0000540C0000}"/>
    <cellStyle name="style1416492839306 3" xfId="3116" xr:uid="{00000000-0005-0000-0000-0000550C0000}"/>
    <cellStyle name="style1416492839369" xfId="699" xr:uid="{00000000-0005-0000-0000-0000560C0000}"/>
    <cellStyle name="style1416492839369 2" xfId="1818" xr:uid="{00000000-0005-0000-0000-0000570C0000}"/>
    <cellStyle name="style1416492839369 2 2" xfId="3119" xr:uid="{00000000-0005-0000-0000-0000580C0000}"/>
    <cellStyle name="style1416492839369 3" xfId="3118" xr:uid="{00000000-0005-0000-0000-0000590C0000}"/>
    <cellStyle name="style1416492839430" xfId="700" xr:uid="{00000000-0005-0000-0000-00005A0C0000}"/>
    <cellStyle name="style1416492839430 2" xfId="1819" xr:uid="{00000000-0005-0000-0000-00005B0C0000}"/>
    <cellStyle name="style1416492839430 2 2" xfId="3121" xr:uid="{00000000-0005-0000-0000-00005C0C0000}"/>
    <cellStyle name="style1416492839430 3" xfId="3120" xr:uid="{00000000-0005-0000-0000-00005D0C0000}"/>
    <cellStyle name="style1416492839473" xfId="701" xr:uid="{00000000-0005-0000-0000-00005E0C0000}"/>
    <cellStyle name="style1416492839473 2" xfId="1820" xr:uid="{00000000-0005-0000-0000-00005F0C0000}"/>
    <cellStyle name="style1416492839473 2 2" xfId="3123" xr:uid="{00000000-0005-0000-0000-0000600C0000}"/>
    <cellStyle name="style1416492839473 3" xfId="3122" xr:uid="{00000000-0005-0000-0000-0000610C0000}"/>
    <cellStyle name="style1416492839528" xfId="702" xr:uid="{00000000-0005-0000-0000-0000620C0000}"/>
    <cellStyle name="style1416492839528 2" xfId="1821" xr:uid="{00000000-0005-0000-0000-0000630C0000}"/>
    <cellStyle name="style1416492839528 2 2" xfId="3125" xr:uid="{00000000-0005-0000-0000-0000640C0000}"/>
    <cellStyle name="style1416492839528 3" xfId="3124" xr:uid="{00000000-0005-0000-0000-0000650C0000}"/>
    <cellStyle name="style1416492839574" xfId="703" xr:uid="{00000000-0005-0000-0000-0000660C0000}"/>
    <cellStyle name="style1416492839574 2" xfId="1822" xr:uid="{00000000-0005-0000-0000-0000670C0000}"/>
    <cellStyle name="style1416492839574 2 2" xfId="3127" xr:uid="{00000000-0005-0000-0000-0000680C0000}"/>
    <cellStyle name="style1416492839574 3" xfId="3126" xr:uid="{00000000-0005-0000-0000-0000690C0000}"/>
    <cellStyle name="style1416492839623" xfId="704" xr:uid="{00000000-0005-0000-0000-00006A0C0000}"/>
    <cellStyle name="style1416492839623 2" xfId="1823" xr:uid="{00000000-0005-0000-0000-00006B0C0000}"/>
    <cellStyle name="style1416492839623 2 2" xfId="3129" xr:uid="{00000000-0005-0000-0000-00006C0C0000}"/>
    <cellStyle name="style1416492839623 3" xfId="3128" xr:uid="{00000000-0005-0000-0000-00006D0C0000}"/>
    <cellStyle name="style1416492839668" xfId="705" xr:uid="{00000000-0005-0000-0000-00006E0C0000}"/>
    <cellStyle name="style1416492839668 2" xfId="1824" xr:uid="{00000000-0005-0000-0000-00006F0C0000}"/>
    <cellStyle name="style1416492839668 2 2" xfId="3131" xr:uid="{00000000-0005-0000-0000-0000700C0000}"/>
    <cellStyle name="style1416492839668 3" xfId="3130" xr:uid="{00000000-0005-0000-0000-0000710C0000}"/>
    <cellStyle name="Texte explicatif 2" xfId="706" xr:uid="{00000000-0005-0000-0000-0000720C0000}"/>
    <cellStyle name="Texte explicatif 3" xfId="1243" xr:uid="{00000000-0005-0000-0000-0000730C0000}"/>
    <cellStyle name="Title 2" xfId="707" xr:uid="{00000000-0005-0000-0000-0000740C0000}"/>
    <cellStyle name="Titre 2" xfId="1246" xr:uid="{00000000-0005-0000-0000-0000750C0000}"/>
    <cellStyle name="Titre 3" xfId="1244" xr:uid="{00000000-0005-0000-0000-0000760C0000}"/>
    <cellStyle name="Titre 1 2" xfId="708" xr:uid="{00000000-0005-0000-0000-0000770C0000}"/>
    <cellStyle name="Titre 1 3" xfId="1245" xr:uid="{00000000-0005-0000-0000-0000780C0000}"/>
    <cellStyle name="Titre 2 2" xfId="709" xr:uid="{00000000-0005-0000-0000-0000790C0000}"/>
    <cellStyle name="Titre 3 2" xfId="710" xr:uid="{00000000-0005-0000-0000-00007A0C0000}"/>
    <cellStyle name="Titre 3 2 2" xfId="3199" xr:uid="{00000000-0005-0000-0000-00007B0C0000}"/>
    <cellStyle name="Titre 3 3" xfId="1247" xr:uid="{00000000-0005-0000-0000-00007C0C0000}"/>
    <cellStyle name="Titre 3 4" xfId="3200" xr:uid="{00000000-0005-0000-0000-00007D0C0000}"/>
    <cellStyle name="Titre 4 2" xfId="711" xr:uid="{00000000-0005-0000-0000-00007E0C0000}"/>
    <cellStyle name="Titre 4 3" xfId="1248" xr:uid="{00000000-0005-0000-0000-00007F0C0000}"/>
    <cellStyle name="Total 2" xfId="712" xr:uid="{00000000-0005-0000-0000-0000800C0000}"/>
    <cellStyle name="Vérification 2" xfId="713" xr:uid="{00000000-0005-0000-0000-0000810C0000}"/>
    <cellStyle name="Vérification 3" xfId="1249" xr:uid="{00000000-0005-0000-0000-0000820C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304800</xdr:colOff>
      <xdr:row>6</xdr:row>
      <xdr:rowOff>66675</xdr:rowOff>
    </xdr:from>
    <xdr:to>
      <xdr:col>8</xdr:col>
      <xdr:colOff>133350</xdr:colOff>
      <xdr:row>17</xdr:row>
      <xdr:rowOff>9525</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1209675"/>
          <a:ext cx="9782175" cy="2038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C213B-4C3D-481B-BB32-8E9A2A9D8FDA}">
  <dimension ref="B2:D13"/>
  <sheetViews>
    <sheetView tabSelected="1" workbookViewId="0">
      <selection activeCell="C3" sqref="C3"/>
    </sheetView>
  </sheetViews>
  <sheetFormatPr defaultRowHeight="14.4" x14ac:dyDescent="0.3"/>
  <cols>
    <col min="2" max="2" width="8.88671875" style="605"/>
    <col min="3" max="3" width="54.77734375" style="605" customWidth="1"/>
  </cols>
  <sheetData>
    <row r="2" spans="2:4" x14ac:dyDescent="0.3">
      <c r="B2" s="609" t="s">
        <v>648</v>
      </c>
      <c r="C2" s="609" t="s">
        <v>660</v>
      </c>
      <c r="D2" s="609" t="s">
        <v>661</v>
      </c>
    </row>
    <row r="3" spans="2:4" x14ac:dyDescent="0.3">
      <c r="B3" s="606" t="s">
        <v>649</v>
      </c>
      <c r="C3" s="608" t="s">
        <v>662</v>
      </c>
      <c r="D3" s="607"/>
    </row>
    <row r="4" spans="2:4" x14ac:dyDescent="0.3">
      <c r="B4" s="606" t="s">
        <v>650</v>
      </c>
      <c r="C4" s="608" t="s">
        <v>663</v>
      </c>
      <c r="D4" s="607"/>
    </row>
    <row r="5" spans="2:4" x14ac:dyDescent="0.3">
      <c r="B5" s="606" t="s">
        <v>651</v>
      </c>
      <c r="C5" s="608" t="s">
        <v>664</v>
      </c>
      <c r="D5" s="607"/>
    </row>
    <row r="6" spans="2:4" x14ac:dyDescent="0.3">
      <c r="B6" s="606" t="s">
        <v>652</v>
      </c>
      <c r="C6" s="608" t="s">
        <v>665</v>
      </c>
      <c r="D6" s="607"/>
    </row>
    <row r="7" spans="2:4" x14ac:dyDescent="0.3">
      <c r="B7" s="606" t="s">
        <v>653</v>
      </c>
      <c r="C7" s="608" t="s">
        <v>666</v>
      </c>
      <c r="D7" s="607"/>
    </row>
    <row r="8" spans="2:4" x14ac:dyDescent="0.3">
      <c r="B8" s="606" t="s">
        <v>654</v>
      </c>
      <c r="C8" s="608" t="s">
        <v>667</v>
      </c>
      <c r="D8" s="607"/>
    </row>
    <row r="9" spans="2:4" x14ac:dyDescent="0.3">
      <c r="B9" s="606" t="s">
        <v>655</v>
      </c>
      <c r="C9" s="608" t="s">
        <v>668</v>
      </c>
      <c r="D9" s="607"/>
    </row>
    <row r="10" spans="2:4" x14ac:dyDescent="0.3">
      <c r="B10" s="606" t="s">
        <v>656</v>
      </c>
      <c r="C10" s="608" t="s">
        <v>669</v>
      </c>
      <c r="D10" s="607"/>
    </row>
    <row r="11" spans="2:4" x14ac:dyDescent="0.3">
      <c r="B11" s="606" t="s">
        <v>657</v>
      </c>
      <c r="C11" s="608" t="s">
        <v>670</v>
      </c>
      <c r="D11" s="607"/>
    </row>
    <row r="12" spans="2:4" x14ac:dyDescent="0.3">
      <c r="B12" s="606" t="s">
        <v>658</v>
      </c>
      <c r="C12" s="608" t="s">
        <v>671</v>
      </c>
      <c r="D12" s="607"/>
    </row>
    <row r="13" spans="2:4" x14ac:dyDescent="0.3">
      <c r="B13" s="606" t="s">
        <v>659</v>
      </c>
      <c r="C13" s="608" t="s">
        <v>672</v>
      </c>
      <c r="D13" s="607"/>
    </row>
  </sheetData>
  <hyperlinks>
    <hyperlink ref="C3" location="'Tab A (Logframe)'!A1" display="Programme Logframe" xr:uid="{BA4F569A-A3F0-4E3B-B4AE-D6A9D7DC4C93}"/>
    <hyperlink ref="C4" location="'Tab B'!A1" display="Log of Changes" xr:uid="{193B86EF-658E-40A4-902C-381BC8DE573D}"/>
    <hyperlink ref="C5" location="'Tab C'!A1" display="Indicator Dictionary" xr:uid="{F7C9072F-23C7-4943-AA87-E3DF1835DCE1}"/>
    <hyperlink ref="C6" location="'Tab D'!A1" display="EMONC Calculations" xr:uid="{6C744024-7614-45B8-BD4F-2341A680DF93}"/>
    <hyperlink ref="C7" location="'Tab E'!A1" display="DHIS2 Data Quality Score" xr:uid="{BC282EDA-FE6A-46CA-B15F-F006ADF3AB5F}"/>
    <hyperlink ref="C8" location="'Tab F'!A1" display="WASH Calculations" xr:uid="{2E3B5E6D-2EF3-4229-B309-493C2966E180}"/>
    <hyperlink ref="C9" location="'Tab G'!A1" display="Organisational Units" xr:uid="{8E0D5A43-CBF9-463E-9165-AEE977787886}"/>
    <hyperlink ref="C10" location="'Tab H'!A1" display="Population Data" xr:uid="{4EDC59AB-EC21-484A-B6AC-F3009A9F5288}"/>
    <hyperlink ref="C11" location="'Tab I'!A1" display="Target Group Populations" xr:uid="{07A9530E-BBDC-4CE8-A289-5A604754BE3B}"/>
    <hyperlink ref="C12" location="'Tab J'!A1" display="Target Group Coverage" xr:uid="{37B27118-F2BE-40C2-A8BA-ECFA6B5C0A8D}"/>
    <hyperlink ref="C13" location="'Tab K'!A1" display="Couple Year Protection (CYP) Calculations" xr:uid="{0E4633FE-8FD0-4BF6-9267-F29F7A68DAA9}"/>
  </hyperlink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Q60"/>
  <sheetViews>
    <sheetView topLeftCell="A7" zoomScale="85" zoomScaleNormal="85" workbookViewId="0">
      <pane xSplit="2" topLeftCell="BN1" activePane="topRight" state="frozen"/>
      <selection pane="topRight" activeCell="CC64" sqref="CC64"/>
    </sheetView>
  </sheetViews>
  <sheetFormatPr defaultColWidth="9.21875" defaultRowHeight="14.4" x14ac:dyDescent="0.3"/>
  <cols>
    <col min="1" max="1" width="20.77734375" style="243" customWidth="1"/>
    <col min="2" max="2" width="20.77734375" style="205" customWidth="1"/>
    <col min="3" max="3" width="13.77734375" style="206" customWidth="1"/>
    <col min="4" max="5" width="9.21875" style="206" customWidth="1"/>
    <col min="6" max="6" width="9.21875" style="494" customWidth="1"/>
    <col min="7" max="12" width="9.21875" style="206" customWidth="1"/>
    <col min="13" max="16" width="9.21875" style="205" customWidth="1"/>
    <col min="17" max="18" width="9.21875" style="447" customWidth="1"/>
    <col min="19" max="19" width="9.21875" style="494" customWidth="1"/>
    <col min="20" max="24" width="9.21875" style="447" customWidth="1"/>
    <col min="25" max="26" width="9.21875" style="206" customWidth="1"/>
    <col min="27" max="27" width="9.21875" style="494" customWidth="1"/>
    <col min="28" max="33" width="9.21875" style="206" customWidth="1"/>
    <col min="34" max="37" width="9.21875" style="205" customWidth="1"/>
    <col min="38" max="44" width="10.77734375" style="206" hidden="1" customWidth="1"/>
    <col min="45" max="51" width="9.21875" style="206" customWidth="1"/>
    <col min="52" max="52" width="9.21875" style="494" customWidth="1"/>
    <col min="53" max="58" width="9.21875" style="206" customWidth="1"/>
    <col min="59" max="62" width="9.21875" style="205" customWidth="1"/>
    <col min="63" max="64" width="9.21875" style="206" customWidth="1"/>
    <col min="65" max="65" width="9.21875" style="494" customWidth="1"/>
    <col min="66" max="71" width="9.21875" style="206" customWidth="1"/>
    <col min="72" max="75" width="9.21875" style="205" customWidth="1"/>
    <col min="76" max="77" width="9.21875" style="447" customWidth="1"/>
    <col min="78" max="78" width="9.21875" style="494" customWidth="1"/>
    <col min="79" max="83" width="9.21875" style="447" customWidth="1"/>
    <col min="84" max="85" width="9.21875" style="206" customWidth="1"/>
    <col min="86" max="86" width="9.21875" style="494" customWidth="1"/>
    <col min="87" max="92" width="9.21875" style="206" customWidth="1"/>
    <col min="93" max="96" width="9.21875" style="205" customWidth="1"/>
    <col min="97" max="103" width="10.77734375" style="206" hidden="1" customWidth="1"/>
    <col min="104" max="110" width="9.21875" style="206" customWidth="1"/>
    <col min="111" max="111" width="9.21875" style="494" customWidth="1"/>
    <col min="112" max="117" width="9.21875" style="206" customWidth="1"/>
    <col min="118" max="118" width="9.21875" style="205" customWidth="1"/>
    <col min="119" max="16384" width="9.21875" style="205"/>
  </cols>
  <sheetData>
    <row r="1" spans="1:121" x14ac:dyDescent="0.3">
      <c r="D1" s="770" t="s">
        <v>203</v>
      </c>
      <c r="E1" s="770"/>
      <c r="F1" s="771"/>
      <c r="G1" s="770"/>
      <c r="H1" s="770"/>
      <c r="I1" s="770"/>
      <c r="J1" s="770"/>
      <c r="K1" s="770"/>
      <c r="L1" s="770"/>
      <c r="M1" s="770"/>
      <c r="N1" s="770"/>
      <c r="O1" s="770"/>
      <c r="P1" s="770"/>
      <c r="Q1" s="770" t="s">
        <v>596</v>
      </c>
      <c r="R1" s="770"/>
      <c r="S1" s="771"/>
      <c r="T1" s="770"/>
      <c r="U1" s="770"/>
      <c r="V1" s="770"/>
      <c r="W1" s="770"/>
      <c r="X1" s="770"/>
      <c r="Y1" s="772" t="s">
        <v>204</v>
      </c>
      <c r="Z1" s="772"/>
      <c r="AA1" s="773"/>
      <c r="AB1" s="772"/>
      <c r="AC1" s="772"/>
      <c r="AD1" s="772"/>
      <c r="AE1" s="772"/>
      <c r="AF1" s="772"/>
      <c r="AG1" s="772"/>
      <c r="AH1" s="772"/>
      <c r="AI1" s="772"/>
      <c r="AJ1" s="772"/>
      <c r="AK1" s="772"/>
      <c r="AL1" s="774" t="s">
        <v>200</v>
      </c>
      <c r="AM1" s="775"/>
      <c r="AN1" s="775"/>
      <c r="AO1" s="775"/>
      <c r="AP1" s="775"/>
      <c r="AQ1" s="775"/>
      <c r="AR1" s="775"/>
      <c r="AS1" s="775"/>
      <c r="AT1" s="775"/>
      <c r="AU1" s="775"/>
      <c r="AV1" s="775"/>
      <c r="AW1" s="775"/>
      <c r="AX1" s="775"/>
      <c r="AY1" s="775"/>
      <c r="AZ1" s="777"/>
      <c r="BA1" s="775"/>
      <c r="BB1" s="775"/>
      <c r="BC1" s="775"/>
      <c r="BD1" s="775"/>
      <c r="BE1" s="775"/>
      <c r="BF1" s="775"/>
      <c r="BG1" s="775"/>
      <c r="BH1" s="775"/>
      <c r="BI1" s="775"/>
      <c r="BJ1" s="776"/>
      <c r="BK1" s="772" t="s">
        <v>201</v>
      </c>
      <c r="BL1" s="772"/>
      <c r="BM1" s="773"/>
      <c r="BN1" s="772"/>
      <c r="BO1" s="772"/>
      <c r="BP1" s="772"/>
      <c r="BQ1" s="772"/>
      <c r="BR1" s="772"/>
      <c r="BS1" s="772"/>
      <c r="BT1" s="772"/>
      <c r="BU1" s="772"/>
      <c r="BV1" s="772"/>
      <c r="BW1" s="772"/>
      <c r="BX1" s="770" t="s">
        <v>597</v>
      </c>
      <c r="BY1" s="770"/>
      <c r="BZ1" s="771"/>
      <c r="CA1" s="770"/>
      <c r="CB1" s="770"/>
      <c r="CC1" s="770"/>
      <c r="CD1" s="770"/>
      <c r="CE1" s="770"/>
      <c r="CF1" s="770" t="s">
        <v>205</v>
      </c>
      <c r="CG1" s="770"/>
      <c r="CH1" s="771"/>
      <c r="CI1" s="770"/>
      <c r="CJ1" s="770"/>
      <c r="CK1" s="770"/>
      <c r="CL1" s="770"/>
      <c r="CM1" s="770"/>
      <c r="CN1" s="770"/>
      <c r="CO1" s="770"/>
      <c r="CP1" s="770"/>
      <c r="CQ1" s="770"/>
      <c r="CR1" s="770"/>
      <c r="CS1" s="778" t="s">
        <v>209</v>
      </c>
      <c r="CT1" s="779"/>
      <c r="CU1" s="779"/>
      <c r="CV1" s="779"/>
      <c r="CW1" s="779"/>
      <c r="CX1" s="779"/>
      <c r="CY1" s="779"/>
      <c r="CZ1" s="779"/>
      <c r="DA1" s="779"/>
      <c r="DB1" s="779"/>
      <c r="DC1" s="779"/>
      <c r="DD1" s="779"/>
      <c r="DE1" s="779"/>
      <c r="DF1" s="779"/>
      <c r="DG1" s="781"/>
      <c r="DH1" s="779"/>
      <c r="DI1" s="779"/>
      <c r="DJ1" s="779"/>
      <c r="DK1" s="779"/>
      <c r="DL1" s="779"/>
      <c r="DM1" s="779"/>
      <c r="DN1" s="779"/>
      <c r="DO1" s="779"/>
      <c r="DP1" s="779"/>
      <c r="DQ1" s="780"/>
    </row>
    <row r="2" spans="1:121" x14ac:dyDescent="0.3">
      <c r="A2" s="253"/>
      <c r="B2" s="251"/>
      <c r="C2" s="252"/>
      <c r="D2" s="266"/>
      <c r="E2" s="770" t="s">
        <v>192</v>
      </c>
      <c r="F2" s="771"/>
      <c r="G2" s="770"/>
      <c r="H2" s="770"/>
      <c r="I2" s="770"/>
      <c r="J2" s="770"/>
      <c r="K2" s="770"/>
      <c r="L2" s="774" t="s">
        <v>206</v>
      </c>
      <c r="M2" s="775"/>
      <c r="N2" s="775"/>
      <c r="O2" s="775"/>
      <c r="P2" s="776"/>
      <c r="Q2" s="449"/>
      <c r="R2" s="770" t="s">
        <v>192</v>
      </c>
      <c r="S2" s="771"/>
      <c r="T2" s="770"/>
      <c r="U2" s="770"/>
      <c r="V2" s="770"/>
      <c r="W2" s="770"/>
      <c r="X2" s="770"/>
      <c r="Y2" s="267"/>
      <c r="Z2" s="772" t="s">
        <v>192</v>
      </c>
      <c r="AA2" s="773"/>
      <c r="AB2" s="772"/>
      <c r="AC2" s="772"/>
      <c r="AD2" s="772"/>
      <c r="AE2" s="772"/>
      <c r="AF2" s="772"/>
      <c r="AG2" s="778" t="s">
        <v>206</v>
      </c>
      <c r="AH2" s="779"/>
      <c r="AI2" s="779"/>
      <c r="AJ2" s="779"/>
      <c r="AK2" s="780"/>
      <c r="AL2" s="770" t="s">
        <v>207</v>
      </c>
      <c r="AM2" s="770"/>
      <c r="AN2" s="770"/>
      <c r="AO2" s="770"/>
      <c r="AP2" s="770"/>
      <c r="AQ2" s="770"/>
      <c r="AR2" s="770"/>
      <c r="AS2" s="770" t="s">
        <v>208</v>
      </c>
      <c r="AT2" s="770"/>
      <c r="AU2" s="770"/>
      <c r="AV2" s="770"/>
      <c r="AW2" s="770"/>
      <c r="AX2" s="770"/>
      <c r="AY2" s="770" t="s">
        <v>192</v>
      </c>
      <c r="AZ2" s="771"/>
      <c r="BA2" s="770"/>
      <c r="BB2" s="770"/>
      <c r="BC2" s="770"/>
      <c r="BD2" s="770"/>
      <c r="BE2" s="770"/>
      <c r="BF2" s="774" t="s">
        <v>206</v>
      </c>
      <c r="BG2" s="775"/>
      <c r="BH2" s="775"/>
      <c r="BI2" s="775"/>
      <c r="BJ2" s="776"/>
      <c r="BK2" s="267"/>
      <c r="BL2" s="772" t="s">
        <v>192</v>
      </c>
      <c r="BM2" s="773"/>
      <c r="BN2" s="772"/>
      <c r="BO2" s="772"/>
      <c r="BP2" s="772"/>
      <c r="BQ2" s="772"/>
      <c r="BR2" s="772"/>
      <c r="BS2" s="778" t="s">
        <v>206</v>
      </c>
      <c r="BT2" s="779"/>
      <c r="BU2" s="779"/>
      <c r="BV2" s="779"/>
      <c r="BW2" s="780"/>
      <c r="BX2" s="449"/>
      <c r="BY2" s="770" t="s">
        <v>192</v>
      </c>
      <c r="BZ2" s="771"/>
      <c r="CA2" s="770"/>
      <c r="CB2" s="770"/>
      <c r="CC2" s="770"/>
      <c r="CD2" s="770"/>
      <c r="CE2" s="770"/>
      <c r="CF2" s="266"/>
      <c r="CG2" s="770" t="s">
        <v>192</v>
      </c>
      <c r="CH2" s="771"/>
      <c r="CI2" s="770"/>
      <c r="CJ2" s="770"/>
      <c r="CK2" s="770"/>
      <c r="CL2" s="770"/>
      <c r="CM2" s="770"/>
      <c r="CN2" s="774" t="s">
        <v>206</v>
      </c>
      <c r="CO2" s="775"/>
      <c r="CP2" s="775"/>
      <c r="CQ2" s="775"/>
      <c r="CR2" s="776"/>
      <c r="CS2" s="772" t="s">
        <v>207</v>
      </c>
      <c r="CT2" s="772"/>
      <c r="CU2" s="772"/>
      <c r="CV2" s="772"/>
      <c r="CW2" s="772"/>
      <c r="CX2" s="772"/>
      <c r="CY2" s="772"/>
      <c r="CZ2" s="772" t="s">
        <v>208</v>
      </c>
      <c r="DA2" s="772"/>
      <c r="DB2" s="772"/>
      <c r="DC2" s="772"/>
      <c r="DD2" s="772"/>
      <c r="DE2" s="772"/>
      <c r="DF2" s="772" t="s">
        <v>192</v>
      </c>
      <c r="DG2" s="773"/>
      <c r="DH2" s="772"/>
      <c r="DI2" s="772"/>
      <c r="DJ2" s="772"/>
      <c r="DK2" s="772"/>
      <c r="DL2" s="772"/>
      <c r="DM2" s="778" t="s">
        <v>206</v>
      </c>
      <c r="DN2" s="779"/>
      <c r="DO2" s="779"/>
      <c r="DP2" s="779"/>
      <c r="DQ2" s="780"/>
    </row>
    <row r="3" spans="1:121" x14ac:dyDescent="0.3">
      <c r="A3" s="253" t="s">
        <v>126</v>
      </c>
      <c r="B3" s="251" t="s">
        <v>132</v>
      </c>
      <c r="C3" s="252" t="s">
        <v>185</v>
      </c>
      <c r="D3" s="252" t="s">
        <v>202</v>
      </c>
      <c r="E3" s="252" t="s">
        <v>186</v>
      </c>
      <c r="F3" s="492" t="s">
        <v>630</v>
      </c>
      <c r="G3" s="252" t="s">
        <v>187</v>
      </c>
      <c r="H3" s="252" t="s">
        <v>188</v>
      </c>
      <c r="I3" s="252" t="s">
        <v>189</v>
      </c>
      <c r="J3" s="252" t="s">
        <v>190</v>
      </c>
      <c r="K3" s="252" t="s">
        <v>198</v>
      </c>
      <c r="L3" s="254" t="s">
        <v>199</v>
      </c>
      <c r="M3" s="254" t="s">
        <v>194</v>
      </c>
      <c r="N3" s="254" t="s">
        <v>195</v>
      </c>
      <c r="O3" s="254" t="s">
        <v>196</v>
      </c>
      <c r="P3" s="254" t="s">
        <v>197</v>
      </c>
      <c r="Q3" s="448" t="s">
        <v>202</v>
      </c>
      <c r="R3" s="448" t="s">
        <v>186</v>
      </c>
      <c r="S3" s="492" t="s">
        <v>630</v>
      </c>
      <c r="T3" s="448" t="s">
        <v>187</v>
      </c>
      <c r="U3" s="448" t="s">
        <v>188</v>
      </c>
      <c r="V3" s="448" t="s">
        <v>189</v>
      </c>
      <c r="W3" s="448" t="s">
        <v>190</v>
      </c>
      <c r="X3" s="448" t="s">
        <v>198</v>
      </c>
      <c r="Y3" s="252" t="s">
        <v>202</v>
      </c>
      <c r="Z3" s="252" t="s">
        <v>186</v>
      </c>
      <c r="AA3" s="492" t="s">
        <v>630</v>
      </c>
      <c r="AB3" s="252" t="s">
        <v>187</v>
      </c>
      <c r="AC3" s="252" t="s">
        <v>188</v>
      </c>
      <c r="AD3" s="252" t="s">
        <v>189</v>
      </c>
      <c r="AE3" s="252" t="s">
        <v>190</v>
      </c>
      <c r="AF3" s="252" t="s">
        <v>198</v>
      </c>
      <c r="AG3" s="254" t="s">
        <v>199</v>
      </c>
      <c r="AH3" s="254" t="s">
        <v>194</v>
      </c>
      <c r="AI3" s="254" t="s">
        <v>195</v>
      </c>
      <c r="AJ3" s="254" t="s">
        <v>196</v>
      </c>
      <c r="AK3" s="254" t="s">
        <v>197</v>
      </c>
      <c r="AL3" s="252" t="s">
        <v>119</v>
      </c>
      <c r="AM3" s="252" t="s">
        <v>120</v>
      </c>
      <c r="AN3" s="252" t="s">
        <v>121</v>
      </c>
      <c r="AO3" s="252" t="s">
        <v>122</v>
      </c>
      <c r="AP3" s="252" t="s">
        <v>123</v>
      </c>
      <c r="AQ3" s="252" t="s">
        <v>124</v>
      </c>
      <c r="AR3" s="252" t="s">
        <v>125</v>
      </c>
      <c r="AS3" s="252" t="s">
        <v>186</v>
      </c>
      <c r="AT3" s="252" t="s">
        <v>187</v>
      </c>
      <c r="AU3" s="252" t="s">
        <v>188</v>
      </c>
      <c r="AV3" s="252" t="s">
        <v>189</v>
      </c>
      <c r="AW3" s="252" t="s">
        <v>190</v>
      </c>
      <c r="AX3" s="252" t="s">
        <v>199</v>
      </c>
      <c r="AY3" s="252" t="s">
        <v>186</v>
      </c>
      <c r="AZ3" s="492" t="s">
        <v>630</v>
      </c>
      <c r="BA3" s="252" t="s">
        <v>187</v>
      </c>
      <c r="BB3" s="252" t="s">
        <v>188</v>
      </c>
      <c r="BC3" s="252" t="s">
        <v>189</v>
      </c>
      <c r="BD3" s="252" t="s">
        <v>190</v>
      </c>
      <c r="BE3" s="252" t="s">
        <v>198</v>
      </c>
      <c r="BF3" s="254" t="s">
        <v>199</v>
      </c>
      <c r="BG3" s="254" t="s">
        <v>194</v>
      </c>
      <c r="BH3" s="254" t="s">
        <v>195</v>
      </c>
      <c r="BI3" s="254" t="s">
        <v>196</v>
      </c>
      <c r="BJ3" s="254" t="s">
        <v>197</v>
      </c>
      <c r="BK3" s="252" t="s">
        <v>202</v>
      </c>
      <c r="BL3" s="252" t="s">
        <v>186</v>
      </c>
      <c r="BM3" s="492" t="s">
        <v>630</v>
      </c>
      <c r="BN3" s="252" t="s">
        <v>187</v>
      </c>
      <c r="BO3" s="252" t="s">
        <v>188</v>
      </c>
      <c r="BP3" s="252" t="s">
        <v>189</v>
      </c>
      <c r="BQ3" s="252" t="s">
        <v>190</v>
      </c>
      <c r="BR3" s="252" t="s">
        <v>198</v>
      </c>
      <c r="BS3" s="254" t="s">
        <v>199</v>
      </c>
      <c r="BT3" s="254" t="s">
        <v>194</v>
      </c>
      <c r="BU3" s="254" t="s">
        <v>195</v>
      </c>
      <c r="BV3" s="254" t="s">
        <v>196</v>
      </c>
      <c r="BW3" s="254" t="s">
        <v>197</v>
      </c>
      <c r="BX3" s="448" t="s">
        <v>202</v>
      </c>
      <c r="BY3" s="448" t="s">
        <v>186</v>
      </c>
      <c r="BZ3" s="492" t="s">
        <v>630</v>
      </c>
      <c r="CA3" s="448" t="s">
        <v>187</v>
      </c>
      <c r="CB3" s="448" t="s">
        <v>188</v>
      </c>
      <c r="CC3" s="448" t="s">
        <v>189</v>
      </c>
      <c r="CD3" s="448" t="s">
        <v>190</v>
      </c>
      <c r="CE3" s="448" t="s">
        <v>198</v>
      </c>
      <c r="CF3" s="252" t="s">
        <v>202</v>
      </c>
      <c r="CG3" s="252" t="s">
        <v>186</v>
      </c>
      <c r="CH3" s="492" t="s">
        <v>630</v>
      </c>
      <c r="CI3" s="252" t="s">
        <v>187</v>
      </c>
      <c r="CJ3" s="252" t="s">
        <v>188</v>
      </c>
      <c r="CK3" s="252" t="s">
        <v>189</v>
      </c>
      <c r="CL3" s="252" t="s">
        <v>190</v>
      </c>
      <c r="CM3" s="252" t="s">
        <v>198</v>
      </c>
      <c r="CN3" s="254" t="s">
        <v>199</v>
      </c>
      <c r="CO3" s="254" t="s">
        <v>194</v>
      </c>
      <c r="CP3" s="254" t="s">
        <v>195</v>
      </c>
      <c r="CQ3" s="254" t="s">
        <v>196</v>
      </c>
      <c r="CR3" s="254" t="s">
        <v>197</v>
      </c>
      <c r="CS3" s="252" t="s">
        <v>119</v>
      </c>
      <c r="CT3" s="252" t="s">
        <v>120</v>
      </c>
      <c r="CU3" s="252" t="s">
        <v>121</v>
      </c>
      <c r="CV3" s="252" t="s">
        <v>122</v>
      </c>
      <c r="CW3" s="252" t="s">
        <v>123</v>
      </c>
      <c r="CX3" s="252" t="s">
        <v>124</v>
      </c>
      <c r="CY3" s="252" t="s">
        <v>125</v>
      </c>
      <c r="CZ3" s="252" t="s">
        <v>186</v>
      </c>
      <c r="DA3" s="252" t="s">
        <v>187</v>
      </c>
      <c r="DB3" s="252" t="s">
        <v>188</v>
      </c>
      <c r="DC3" s="252" t="s">
        <v>189</v>
      </c>
      <c r="DD3" s="252" t="s">
        <v>190</v>
      </c>
      <c r="DE3" s="252" t="s">
        <v>199</v>
      </c>
      <c r="DF3" s="252" t="s">
        <v>186</v>
      </c>
      <c r="DG3" s="492" t="s">
        <v>630</v>
      </c>
      <c r="DH3" s="252" t="s">
        <v>187</v>
      </c>
      <c r="DI3" s="252" t="s">
        <v>188</v>
      </c>
      <c r="DJ3" s="252" t="s">
        <v>189</v>
      </c>
      <c r="DK3" s="252" t="s">
        <v>190</v>
      </c>
      <c r="DL3" s="252" t="s">
        <v>198</v>
      </c>
      <c r="DM3" s="254" t="s">
        <v>199</v>
      </c>
      <c r="DN3" s="254" t="s">
        <v>194</v>
      </c>
      <c r="DO3" s="254" t="s">
        <v>195</v>
      </c>
      <c r="DP3" s="254" t="s">
        <v>196</v>
      </c>
      <c r="DQ3" s="254" t="s">
        <v>197</v>
      </c>
    </row>
    <row r="4" spans="1:121" x14ac:dyDescent="0.3">
      <c r="A4" s="750" t="s">
        <v>127</v>
      </c>
      <c r="B4" s="205" t="s">
        <v>133</v>
      </c>
      <c r="C4" s="206">
        <v>24</v>
      </c>
      <c r="D4" s="255">
        <v>3.49E-2</v>
      </c>
      <c r="E4" s="256">
        <f>($D$4*'Tab H'!K3)</f>
        <v>9278.2697000000007</v>
      </c>
      <c r="F4" s="256">
        <f>($D$4*'Tab H'!L3)</f>
        <v>6958.7022749999996</v>
      </c>
      <c r="G4" s="256">
        <f>($D$4*'Tab H'!M3)</f>
        <v>9556.6177910000006</v>
      </c>
      <c r="H4" s="256">
        <f>($D$4*'Tab H'!N3)</f>
        <v>9843.3163247299999</v>
      </c>
      <c r="I4" s="256">
        <f>($D$4*'Tab H'!O3)</f>
        <v>10138.615814471903</v>
      </c>
      <c r="J4" s="256">
        <f>($D$4*'Tab H'!P3)</f>
        <v>10442.774288906059</v>
      </c>
      <c r="K4" s="206">
        <f>ROUND($D$4*'Tab H'!Q3,0)</f>
        <v>10837</v>
      </c>
      <c r="L4" s="257">
        <f>ROUND($D$4*'Tab H'!R3,0)</f>
        <v>10837</v>
      </c>
      <c r="M4" s="258">
        <f t="shared" ref="M4:P23" si="0">$L4/4</f>
        <v>2709.25</v>
      </c>
      <c r="N4" s="258">
        <f t="shared" si="0"/>
        <v>2709.25</v>
      </c>
      <c r="O4" s="258">
        <f t="shared" si="0"/>
        <v>2709.25</v>
      </c>
      <c r="P4" s="258">
        <f t="shared" si="0"/>
        <v>2709.25</v>
      </c>
      <c r="Q4" s="255">
        <v>3.49E-2</v>
      </c>
      <c r="Y4" s="259">
        <v>0.189</v>
      </c>
      <c r="Z4" s="256">
        <f>(0.18*'Tab H'!K3)</f>
        <v>47853.54</v>
      </c>
      <c r="AA4" s="256">
        <f>(0.18*'Tab H'!L3)</f>
        <v>35890.154999999999</v>
      </c>
      <c r="AB4" s="256">
        <f>(0.18*'Tab H'!M3)</f>
        <v>49289.146200000003</v>
      </c>
      <c r="AC4" s="256">
        <f>(0.18*'Tab H'!N3)</f>
        <v>50767.820586000002</v>
      </c>
      <c r="AD4" s="256">
        <f>(0.18*'Tab H'!O3)</f>
        <v>52290.855203580009</v>
      </c>
      <c r="AE4" s="256">
        <f>(0.18*'Tab H'!P3)</f>
        <v>53859.580859687412</v>
      </c>
      <c r="AF4" s="206">
        <f>ROUND($Y$4*'Tab H'!Q3,0)</f>
        <v>58686</v>
      </c>
      <c r="AG4" s="257">
        <f>ROUND($Y$4*'Tab H'!R3,0)</f>
        <v>58686</v>
      </c>
      <c r="AH4" s="258">
        <f>$AG4/4</f>
        <v>14671.5</v>
      </c>
      <c r="AI4" s="258">
        <f t="shared" ref="AI4:AK19" si="1">$AG4/4</f>
        <v>14671.5</v>
      </c>
      <c r="AJ4" s="258">
        <f t="shared" si="1"/>
        <v>14671.5</v>
      </c>
      <c r="AK4" s="258">
        <f t="shared" si="1"/>
        <v>14671.5</v>
      </c>
      <c r="AL4" s="206">
        <v>0.15</v>
      </c>
      <c r="AM4" s="206">
        <v>0.15</v>
      </c>
      <c r="AN4" s="206">
        <v>0.15</v>
      </c>
      <c r="AO4" s="206">
        <v>0.15</v>
      </c>
      <c r="AP4" s="206">
        <v>0.15</v>
      </c>
      <c r="AQ4" s="206">
        <v>0.15</v>
      </c>
      <c r="AR4" s="206">
        <v>0.15</v>
      </c>
      <c r="AS4" s="260">
        <f t="shared" ref="AS4:AS35" si="2">(AL4*0.75)+(AM4*0.25)</f>
        <v>0.15</v>
      </c>
      <c r="AT4" s="260">
        <f t="shared" ref="AT4:AT35" si="3">(AM4*0.75)+(AN4*0.25)</f>
        <v>0.15</v>
      </c>
      <c r="AU4" s="260">
        <f t="shared" ref="AU4:AU35" si="4">(AN4*0.75)+(AO4*0.25)</f>
        <v>0.15</v>
      </c>
      <c r="AV4" s="260">
        <f t="shared" ref="AV4:AV35" si="5">(AO4*0.75)+(AP4*0.25)</f>
        <v>0.15</v>
      </c>
      <c r="AW4" s="260">
        <f t="shared" ref="AW4:AW35" si="6">(AP4*0.75)+(AQ4*0.25)</f>
        <v>0.15</v>
      </c>
      <c r="AX4" s="260">
        <f t="shared" ref="AX4:AX35" si="7">(AQ4*0.75)+(AR4*0.25)</f>
        <v>0.15</v>
      </c>
      <c r="AY4" s="256">
        <f>(Z4*AS4)</f>
        <v>7178.0309999999999</v>
      </c>
      <c r="AZ4" s="256">
        <f>(AA4*AT4)</f>
        <v>5383.5232499999993</v>
      </c>
      <c r="BA4" s="256">
        <f>(AB4*AT4)</f>
        <v>7393.3719300000002</v>
      </c>
      <c r="BB4" s="256">
        <f>(AC4*AU4)</f>
        <v>7615.1730878999997</v>
      </c>
      <c r="BC4" s="256">
        <f>(AD4*AV4)</f>
        <v>7843.628280537001</v>
      </c>
      <c r="BD4" s="256">
        <f>(AE4*AW4)</f>
        <v>8078.9371289531118</v>
      </c>
      <c r="BE4" s="206">
        <f t="shared" ref="BE4" si="8">ROUND(AF4*AX4,0)</f>
        <v>8803</v>
      </c>
      <c r="BF4" s="257">
        <f t="shared" ref="BF4:BF35" si="9">ROUND(AG4*AX4,0)</f>
        <v>8803</v>
      </c>
      <c r="BG4" s="258">
        <f>$BF4/4</f>
        <v>2200.75</v>
      </c>
      <c r="BH4" s="258">
        <f t="shared" ref="BH4:BJ19" si="10">$BF4/4</f>
        <v>2200.75</v>
      </c>
      <c r="BI4" s="258">
        <f t="shared" si="10"/>
        <v>2200.75</v>
      </c>
      <c r="BJ4" s="258">
        <f t="shared" si="10"/>
        <v>2200.75</v>
      </c>
      <c r="BK4" s="260">
        <v>0.04</v>
      </c>
      <c r="BL4" s="256">
        <f>($BK$4*'Tab H'!K3)</f>
        <v>10634.12</v>
      </c>
      <c r="BM4" s="256">
        <f>($BK$4*'Tab H'!L3)</f>
        <v>7975.59</v>
      </c>
      <c r="BN4" s="256">
        <f>($BK$4*'Tab H'!M3)</f>
        <v>10953.143600000001</v>
      </c>
      <c r="BO4" s="256">
        <f>($BK$4*'Tab H'!N3)</f>
        <v>11281.737908000001</v>
      </c>
      <c r="BP4" s="256">
        <f>($BK$4*'Tab H'!O3)</f>
        <v>11620.190045240002</v>
      </c>
      <c r="BQ4" s="256">
        <f>($BK$4*'Tab H'!P3)</f>
        <v>11968.795746597203</v>
      </c>
      <c r="BR4" s="256">
        <f>SUM(BT4:BW4)</f>
        <v>12420</v>
      </c>
      <c r="BS4" s="257">
        <f>ROUND($BK$4*'Tab H'!R3,0)</f>
        <v>12420</v>
      </c>
      <c r="BT4" s="258">
        <f>$BS4/4</f>
        <v>3105</v>
      </c>
      <c r="BU4" s="258">
        <f t="shared" ref="BU4:BW19" si="11">$BS4/4</f>
        <v>3105</v>
      </c>
      <c r="BV4" s="258">
        <f t="shared" si="11"/>
        <v>3105</v>
      </c>
      <c r="BW4" s="258">
        <f t="shared" si="11"/>
        <v>3105</v>
      </c>
      <c r="BX4" s="255">
        <v>0.04</v>
      </c>
      <c r="CF4" s="260">
        <v>0.21</v>
      </c>
      <c r="CG4" s="256">
        <f>($CF$4*'Tab H'!K3)</f>
        <v>55829.13</v>
      </c>
      <c r="CH4" s="256">
        <f>($CF$4*'Tab H'!L3)</f>
        <v>41871.847499999996</v>
      </c>
      <c r="CI4" s="256">
        <f>($CF$4*'Tab H'!M3)</f>
        <v>57504.003900000003</v>
      </c>
      <c r="CJ4" s="256">
        <f>($CF$4*'Tab H'!N3)</f>
        <v>59229.124017000002</v>
      </c>
      <c r="CK4" s="256">
        <f>($CF$4*'Tab H'!O3)</f>
        <v>61005.997737510006</v>
      </c>
      <c r="CL4" s="256">
        <f>($CF$4*'Tab H'!P3)</f>
        <v>62836.177669635312</v>
      </c>
      <c r="CM4" s="206">
        <f>ROUND($CF$4*'Tab H'!Q3,0)</f>
        <v>65206</v>
      </c>
      <c r="CN4" s="257">
        <f>ROUND($CF$4*'Tab H'!R3,0)</f>
        <v>65206</v>
      </c>
      <c r="CO4" s="258">
        <f>$CN4/4</f>
        <v>16301.5</v>
      </c>
      <c r="CP4" s="258">
        <f t="shared" ref="CP4:CR19" si="12">$CN4/4</f>
        <v>16301.5</v>
      </c>
      <c r="CQ4" s="258">
        <f t="shared" si="12"/>
        <v>16301.5</v>
      </c>
      <c r="CR4" s="258">
        <f t="shared" si="12"/>
        <v>16301.5</v>
      </c>
      <c r="CS4" s="206">
        <v>8.0000000000000002E-3</v>
      </c>
      <c r="CT4" s="206">
        <v>8.0000000000000002E-3</v>
      </c>
      <c r="CU4" s="206">
        <v>8.0000000000000002E-3</v>
      </c>
      <c r="CV4" s="206">
        <v>8.0000000000000002E-3</v>
      </c>
      <c r="CW4" s="206">
        <v>8.0000000000000002E-3</v>
      </c>
      <c r="CX4" s="206">
        <v>8.0000000000000002E-3</v>
      </c>
      <c r="CY4" s="206">
        <v>8.0000000000000002E-3</v>
      </c>
      <c r="CZ4" s="259">
        <f t="shared" ref="CZ4:CZ35" si="13">(CS4*0.75)+(CT4*0.25)</f>
        <v>8.0000000000000002E-3</v>
      </c>
      <c r="DA4" s="259">
        <f t="shared" ref="DA4:DA35" si="14">(CT4*0.75)+(CU4*0.25)</f>
        <v>8.0000000000000002E-3</v>
      </c>
      <c r="DB4" s="259">
        <f t="shared" ref="DB4:DB35" si="15">(CU4*0.75)+(CV4*0.25)</f>
        <v>8.0000000000000002E-3</v>
      </c>
      <c r="DC4" s="259">
        <f t="shared" ref="DC4:DC35" si="16">(CV4*0.75)+(CW4*0.25)</f>
        <v>8.0000000000000002E-3</v>
      </c>
      <c r="DD4" s="259">
        <f t="shared" ref="DD4:DD35" si="17">(CW4*0.75)+(CX4*0.25)</f>
        <v>8.0000000000000002E-3</v>
      </c>
      <c r="DE4" s="259">
        <f t="shared" ref="DE4:DE35" si="18">(CX4*0.75)+(CY4*0.25)</f>
        <v>8.0000000000000002E-3</v>
      </c>
      <c r="DF4" s="256">
        <f>(CG4*CZ4)</f>
        <v>446.63303999999999</v>
      </c>
      <c r="DG4" s="256">
        <f>(CH4*CZ4)</f>
        <v>334.97477999999995</v>
      </c>
      <c r="DH4" s="256">
        <f>(CI4*DA4)</f>
        <v>460.03203120000006</v>
      </c>
      <c r="DI4" s="256">
        <f>(CJ4*DB4)</f>
        <v>473.83299213600003</v>
      </c>
      <c r="DJ4" s="256">
        <f>(CK4*DC4)</f>
        <v>488.04798190008006</v>
      </c>
      <c r="DK4" s="256">
        <f>(CL4*DD4)</f>
        <v>502.68942135708249</v>
      </c>
      <c r="DL4" s="206">
        <f t="shared" ref="DL4" si="19">ROUND(CM4*DE4,0)</f>
        <v>522</v>
      </c>
      <c r="DM4" s="257">
        <f t="shared" ref="DM4:DM35" si="20">ROUND(CN4*DE4,0)</f>
        <v>522</v>
      </c>
      <c r="DN4" s="258">
        <f>$DM4/4</f>
        <v>130.5</v>
      </c>
      <c r="DO4" s="258">
        <f t="shared" ref="DO4:DQ19" si="21">$DM4/4</f>
        <v>130.5</v>
      </c>
      <c r="DP4" s="258">
        <f t="shared" si="21"/>
        <v>130.5</v>
      </c>
      <c r="DQ4" s="258">
        <f t="shared" si="21"/>
        <v>130.5</v>
      </c>
    </row>
    <row r="5" spans="1:121" x14ac:dyDescent="0.3">
      <c r="A5" s="750"/>
      <c r="B5" s="205" t="s">
        <v>134</v>
      </c>
      <c r="C5" s="206">
        <v>11</v>
      </c>
      <c r="D5" s="255">
        <v>3.49E-2</v>
      </c>
      <c r="E5" s="256">
        <f>($D$4*'Tab H'!K4)</f>
        <v>3804.7980000000002</v>
      </c>
      <c r="F5" s="256">
        <f>($D$4*'Tab H'!L4)</f>
        <v>2853.5985000000001</v>
      </c>
      <c r="G5" s="256">
        <f>($D$4*'Tab H'!M4)</f>
        <v>3918.9419400000002</v>
      </c>
      <c r="H5" s="256">
        <f>($D$4*'Tab H'!N4)</f>
        <v>4036.5101982000006</v>
      </c>
      <c r="I5" s="256">
        <f>($D$4*'Tab H'!O4)</f>
        <v>4157.6055041460004</v>
      </c>
      <c r="J5" s="256">
        <f>($D$4*'Tab H'!P4)</f>
        <v>4282.3336692703806</v>
      </c>
      <c r="K5" s="206">
        <f>ROUND($D$4*'Tab H'!Q4,0)</f>
        <v>4314</v>
      </c>
      <c r="L5" s="257">
        <f>ROUND($D$4*'Tab H'!R4,0)</f>
        <v>4314</v>
      </c>
      <c r="M5" s="258">
        <f t="shared" si="0"/>
        <v>1078.5</v>
      </c>
      <c r="N5" s="258">
        <f t="shared" si="0"/>
        <v>1078.5</v>
      </c>
      <c r="O5" s="258">
        <f t="shared" si="0"/>
        <v>1078.5</v>
      </c>
      <c r="P5" s="258">
        <f t="shared" si="0"/>
        <v>1078.5</v>
      </c>
      <c r="Q5" s="255">
        <v>3.49E-2</v>
      </c>
      <c r="Y5" s="259">
        <v>0.189</v>
      </c>
      <c r="Z5" s="256">
        <f>(0.18*'Tab H'!K4)</f>
        <v>19623.599999999999</v>
      </c>
      <c r="AA5" s="256">
        <f>(0.18*'Tab H'!L4)</f>
        <v>14717.699999999999</v>
      </c>
      <c r="AB5" s="256">
        <f>(0.18*'Tab H'!M4)</f>
        <v>20212.308000000001</v>
      </c>
      <c r="AC5" s="256">
        <f>(0.18*'Tab H'!N4)</f>
        <v>20818.677240000001</v>
      </c>
      <c r="AD5" s="256">
        <f>(0.18*'Tab H'!O4)</f>
        <v>21443.237557200002</v>
      </c>
      <c r="AE5" s="256">
        <f>(0.18*'Tab H'!P4)</f>
        <v>22086.534683916001</v>
      </c>
      <c r="AF5" s="206">
        <f>ROUND($Y$4*'Tab H'!Q4,0)</f>
        <v>23364</v>
      </c>
      <c r="AG5" s="257">
        <f>ROUND($Y$4*'Tab H'!R4,0)</f>
        <v>23364</v>
      </c>
      <c r="AH5" s="258">
        <f t="shared" ref="AH5:AK53" si="22">$AG5/4</f>
        <v>5841</v>
      </c>
      <c r="AI5" s="258">
        <f t="shared" si="1"/>
        <v>5841</v>
      </c>
      <c r="AJ5" s="258">
        <f t="shared" si="1"/>
        <v>5841</v>
      </c>
      <c r="AK5" s="258">
        <f t="shared" si="1"/>
        <v>5841</v>
      </c>
      <c r="AL5" s="206">
        <v>0.15</v>
      </c>
      <c r="AM5" s="206">
        <v>0.15</v>
      </c>
      <c r="AN5" s="206">
        <v>0.15</v>
      </c>
      <c r="AO5" s="206">
        <v>0.15</v>
      </c>
      <c r="AP5" s="206">
        <v>0.15</v>
      </c>
      <c r="AQ5" s="206">
        <v>0.15</v>
      </c>
      <c r="AR5" s="206">
        <v>0.15</v>
      </c>
      <c r="AS5" s="260">
        <f t="shared" si="2"/>
        <v>0.15</v>
      </c>
      <c r="AT5" s="260">
        <f t="shared" si="3"/>
        <v>0.15</v>
      </c>
      <c r="AU5" s="260">
        <f t="shared" si="4"/>
        <v>0.15</v>
      </c>
      <c r="AV5" s="260">
        <f t="shared" si="5"/>
        <v>0.15</v>
      </c>
      <c r="AW5" s="260">
        <f t="shared" si="6"/>
        <v>0.15</v>
      </c>
      <c r="AX5" s="260">
        <f t="shared" si="7"/>
        <v>0.15</v>
      </c>
      <c r="AY5" s="256">
        <f t="shared" ref="AY5:AY59" si="23">(Z5*AS5)</f>
        <v>2943.5399999999995</v>
      </c>
      <c r="AZ5" s="256">
        <f t="shared" ref="AZ5:AZ59" si="24">(AA5*AT5)</f>
        <v>2207.6549999999997</v>
      </c>
      <c r="BA5" s="256">
        <f t="shared" ref="BA5:BA59" si="25">(AB5*AT5)</f>
        <v>3031.8462</v>
      </c>
      <c r="BB5" s="256">
        <f t="shared" ref="BB5:BB59" si="26">(AC5*AU5)</f>
        <v>3122.801586</v>
      </c>
      <c r="BC5" s="256">
        <f t="shared" ref="BC5:BC59" si="27">(AD5*AV5)</f>
        <v>3216.48563358</v>
      </c>
      <c r="BD5" s="256">
        <f t="shared" ref="BD5:BD59" si="28">(AE5*AW5)</f>
        <v>3312.9802025874001</v>
      </c>
      <c r="BE5" s="206">
        <f t="shared" ref="BE5:BE59" si="29">ROUND(AF5*AX5,0)</f>
        <v>3505</v>
      </c>
      <c r="BF5" s="257">
        <f t="shared" si="9"/>
        <v>3505</v>
      </c>
      <c r="BG5" s="258">
        <f t="shared" ref="BG5:BJ53" si="30">$BF5/4</f>
        <v>876.25</v>
      </c>
      <c r="BH5" s="258">
        <f t="shared" si="10"/>
        <v>876.25</v>
      </c>
      <c r="BI5" s="258">
        <f t="shared" si="10"/>
        <v>876.25</v>
      </c>
      <c r="BJ5" s="258">
        <f t="shared" si="10"/>
        <v>876.25</v>
      </c>
      <c r="BK5" s="260">
        <v>0.04</v>
      </c>
      <c r="BL5" s="256">
        <f>($BK$4*'Tab H'!K4)</f>
        <v>4360.8</v>
      </c>
      <c r="BM5" s="256">
        <f>($BK$4*'Tab H'!L4)</f>
        <v>3270.6</v>
      </c>
      <c r="BN5" s="256">
        <f>($BK$4*'Tab H'!M4)</f>
        <v>4491.6240000000007</v>
      </c>
      <c r="BO5" s="256">
        <f>($BK$4*'Tab H'!N4)</f>
        <v>4626.3727200000003</v>
      </c>
      <c r="BP5" s="256">
        <f>($BK$4*'Tab H'!O4)</f>
        <v>4765.1639016000008</v>
      </c>
      <c r="BQ5" s="256">
        <f>($BK$4*'Tab H'!P4)</f>
        <v>4908.1188186480003</v>
      </c>
      <c r="BR5" s="256">
        <f t="shared" ref="BR5:BR55" si="31">SUM(BT5:BW5)</f>
        <v>4945</v>
      </c>
      <c r="BS5" s="257">
        <f>ROUND($BK$4*'Tab H'!R4,0)</f>
        <v>4945</v>
      </c>
      <c r="BT5" s="258">
        <f t="shared" ref="BT5:BW53" si="32">$BS5/4</f>
        <v>1236.25</v>
      </c>
      <c r="BU5" s="258">
        <f t="shared" si="11"/>
        <v>1236.25</v>
      </c>
      <c r="BV5" s="258">
        <f t="shared" si="11"/>
        <v>1236.25</v>
      </c>
      <c r="BW5" s="258">
        <f t="shared" si="11"/>
        <v>1236.25</v>
      </c>
      <c r="BX5" s="255">
        <v>0.04</v>
      </c>
      <c r="CF5" s="260">
        <v>0.21</v>
      </c>
      <c r="CG5" s="256">
        <f>($CF$4*'Tab H'!K4)</f>
        <v>22894.2</v>
      </c>
      <c r="CH5" s="256">
        <f>($CF$4*'Tab H'!L4)</f>
        <v>17170.649999999998</v>
      </c>
      <c r="CI5" s="256">
        <f>($CF$4*'Tab H'!M4)</f>
        <v>23581.026000000002</v>
      </c>
      <c r="CJ5" s="256">
        <f>($CF$4*'Tab H'!N4)</f>
        <v>24288.45678</v>
      </c>
      <c r="CK5" s="256">
        <f>($CF$4*'Tab H'!O4)</f>
        <v>25017.110483400003</v>
      </c>
      <c r="CL5" s="256">
        <f>($CF$4*'Tab H'!P4)</f>
        <v>25767.623797902001</v>
      </c>
      <c r="CM5" s="206">
        <f>ROUND($CF$4*'Tab H'!Q4,0)</f>
        <v>25960</v>
      </c>
      <c r="CN5" s="257">
        <f>ROUND($CF$4*'Tab H'!R4,0)</f>
        <v>25960</v>
      </c>
      <c r="CO5" s="258">
        <f t="shared" ref="CO5:CR53" si="33">$CN5/4</f>
        <v>6490</v>
      </c>
      <c r="CP5" s="258">
        <f t="shared" si="12"/>
        <v>6490</v>
      </c>
      <c r="CQ5" s="258">
        <f t="shared" si="12"/>
        <v>6490</v>
      </c>
      <c r="CR5" s="258">
        <f t="shared" si="12"/>
        <v>6490</v>
      </c>
      <c r="CS5" s="206">
        <v>8.0000000000000002E-3</v>
      </c>
      <c r="CT5" s="206">
        <v>8.0000000000000002E-3</v>
      </c>
      <c r="CU5" s="206">
        <v>8.0000000000000002E-3</v>
      </c>
      <c r="CV5" s="206">
        <v>8.0000000000000002E-3</v>
      </c>
      <c r="CW5" s="206">
        <v>8.0000000000000002E-3</v>
      </c>
      <c r="CX5" s="206">
        <v>8.0000000000000002E-3</v>
      </c>
      <c r="CY5" s="206">
        <v>8.0000000000000002E-3</v>
      </c>
      <c r="CZ5" s="259">
        <f t="shared" si="13"/>
        <v>8.0000000000000002E-3</v>
      </c>
      <c r="DA5" s="259">
        <f t="shared" si="14"/>
        <v>8.0000000000000002E-3</v>
      </c>
      <c r="DB5" s="259">
        <f t="shared" si="15"/>
        <v>8.0000000000000002E-3</v>
      </c>
      <c r="DC5" s="259">
        <f t="shared" si="16"/>
        <v>8.0000000000000002E-3</v>
      </c>
      <c r="DD5" s="259">
        <f t="shared" si="17"/>
        <v>8.0000000000000002E-3</v>
      </c>
      <c r="DE5" s="259">
        <f t="shared" si="18"/>
        <v>8.0000000000000002E-3</v>
      </c>
      <c r="DF5" s="256">
        <f t="shared" ref="DF5:DF59" si="34">(CG5*CZ5)</f>
        <v>183.15360000000001</v>
      </c>
      <c r="DG5" s="256">
        <f t="shared" ref="DG5:DG59" si="35">(CH5*CZ5)</f>
        <v>137.36519999999999</v>
      </c>
      <c r="DH5" s="256">
        <f t="shared" ref="DH5:DH59" si="36">(CI5*DA5)</f>
        <v>188.64820800000001</v>
      </c>
      <c r="DI5" s="256">
        <f t="shared" ref="DI5:DI59" si="37">(CJ5*DB5)</f>
        <v>194.30765424000001</v>
      </c>
      <c r="DJ5" s="256">
        <f t="shared" ref="DJ5:DJ59" si="38">(CK5*DC5)</f>
        <v>200.13688386720003</v>
      </c>
      <c r="DK5" s="256">
        <f t="shared" ref="DK5:DK59" si="39">(CL5*DD5)</f>
        <v>206.14099038321601</v>
      </c>
      <c r="DL5" s="206">
        <f t="shared" ref="DL5:DL55" si="40">ROUND(CM5*DE5,0)</f>
        <v>208</v>
      </c>
      <c r="DM5" s="257">
        <f t="shared" si="20"/>
        <v>208</v>
      </c>
      <c r="DN5" s="258">
        <f t="shared" ref="DN5:DQ53" si="41">$DM5/4</f>
        <v>52</v>
      </c>
      <c r="DO5" s="258">
        <f t="shared" si="21"/>
        <v>52</v>
      </c>
      <c r="DP5" s="258">
        <f t="shared" si="21"/>
        <v>52</v>
      </c>
      <c r="DQ5" s="258">
        <f t="shared" si="21"/>
        <v>52</v>
      </c>
    </row>
    <row r="6" spans="1:121" x14ac:dyDescent="0.3">
      <c r="A6" s="750"/>
      <c r="B6" s="205" t="s">
        <v>135</v>
      </c>
      <c r="C6" s="206">
        <v>22</v>
      </c>
      <c r="D6" s="255">
        <v>3.49E-2</v>
      </c>
      <c r="E6" s="256">
        <f>($D$4*'Tab H'!K5)</f>
        <v>10540.463100000001</v>
      </c>
      <c r="F6" s="256">
        <f>($D$4*'Tab H'!L5)</f>
        <v>10540.463100000001</v>
      </c>
      <c r="G6" s="256">
        <f>($D$4*'Tab H'!M5)</f>
        <v>10856.676993000001</v>
      </c>
      <c r="H6" s="256">
        <f>($D$4*'Tab H'!N5)</f>
        <v>11182.377302790001</v>
      </c>
      <c r="I6" s="256">
        <f>($D$4*'Tab H'!O5)</f>
        <v>11517.848621873702</v>
      </c>
      <c r="J6" s="256">
        <f>($D$4*'Tab H'!P5)</f>
        <v>11863.384080529911</v>
      </c>
      <c r="K6" s="206">
        <f>ROUND($D$4*'Tab H'!Q5,0)</f>
        <v>12311</v>
      </c>
      <c r="L6" s="257">
        <f>ROUND($D$4*'Tab H'!R5,0)</f>
        <v>12311</v>
      </c>
      <c r="M6" s="258">
        <f t="shared" si="0"/>
        <v>3077.75</v>
      </c>
      <c r="N6" s="258">
        <f t="shared" si="0"/>
        <v>3077.75</v>
      </c>
      <c r="O6" s="258">
        <f t="shared" si="0"/>
        <v>3077.75</v>
      </c>
      <c r="P6" s="258">
        <f t="shared" si="0"/>
        <v>3077.75</v>
      </c>
      <c r="Q6" s="255">
        <v>3.49E-2</v>
      </c>
      <c r="Y6" s="259">
        <v>0.189</v>
      </c>
      <c r="Z6" s="256">
        <f>(0.18*'Tab H'!K5)</f>
        <v>54363.42</v>
      </c>
      <c r="AA6" s="256">
        <f>(0.18*'Tab H'!L5)</f>
        <v>54363.42</v>
      </c>
      <c r="AB6" s="256">
        <f>(0.18*'Tab H'!M5)</f>
        <v>55994.3226</v>
      </c>
      <c r="AC6" s="256">
        <f>(0.18*'Tab H'!N5)</f>
        <v>57674.152278000001</v>
      </c>
      <c r="AD6" s="256">
        <f>(0.18*'Tab H'!O5)</f>
        <v>59404.376846340005</v>
      </c>
      <c r="AE6" s="256">
        <f>(0.18*'Tab H'!P5)</f>
        <v>61186.508151730202</v>
      </c>
      <c r="AF6" s="206">
        <f>ROUND($Y$4*'Tab H'!Q5,0)</f>
        <v>66668</v>
      </c>
      <c r="AG6" s="257">
        <f>ROUND($Y$4*'Tab H'!R5,0)</f>
        <v>66668</v>
      </c>
      <c r="AH6" s="258">
        <f t="shared" si="22"/>
        <v>16667</v>
      </c>
      <c r="AI6" s="258">
        <f t="shared" si="1"/>
        <v>16667</v>
      </c>
      <c r="AJ6" s="258">
        <f t="shared" si="1"/>
        <v>16667</v>
      </c>
      <c r="AK6" s="258">
        <f t="shared" si="1"/>
        <v>16667</v>
      </c>
      <c r="AL6" s="206">
        <v>0.15</v>
      </c>
      <c r="AM6" s="206">
        <v>0.15</v>
      </c>
      <c r="AN6" s="206">
        <v>0.15</v>
      </c>
      <c r="AO6" s="206">
        <v>0.15</v>
      </c>
      <c r="AP6" s="206">
        <v>0.15</v>
      </c>
      <c r="AQ6" s="206">
        <v>0.15</v>
      </c>
      <c r="AR6" s="206">
        <v>0.15</v>
      </c>
      <c r="AS6" s="260">
        <f t="shared" si="2"/>
        <v>0.15</v>
      </c>
      <c r="AT6" s="260">
        <f t="shared" si="3"/>
        <v>0.15</v>
      </c>
      <c r="AU6" s="260">
        <f t="shared" si="4"/>
        <v>0.15</v>
      </c>
      <c r="AV6" s="260">
        <f t="shared" si="5"/>
        <v>0.15</v>
      </c>
      <c r="AW6" s="260">
        <f t="shared" si="6"/>
        <v>0.15</v>
      </c>
      <c r="AX6" s="260">
        <f t="shared" si="7"/>
        <v>0.15</v>
      </c>
      <c r="AY6" s="256">
        <f t="shared" si="23"/>
        <v>8154.512999999999</v>
      </c>
      <c r="AZ6" s="256">
        <f t="shared" si="24"/>
        <v>8154.512999999999</v>
      </c>
      <c r="BA6" s="256">
        <f t="shared" si="25"/>
        <v>8399.1483900000003</v>
      </c>
      <c r="BB6" s="256">
        <f t="shared" si="26"/>
        <v>8651.1228417000002</v>
      </c>
      <c r="BC6" s="256">
        <f t="shared" si="27"/>
        <v>8910.6565269510011</v>
      </c>
      <c r="BD6" s="256">
        <f t="shared" si="28"/>
        <v>9177.9762227595293</v>
      </c>
      <c r="BE6" s="206">
        <f t="shared" si="29"/>
        <v>10000</v>
      </c>
      <c r="BF6" s="257">
        <f t="shared" si="9"/>
        <v>10000</v>
      </c>
      <c r="BG6" s="258">
        <f t="shared" si="30"/>
        <v>2500</v>
      </c>
      <c r="BH6" s="258">
        <f t="shared" si="10"/>
        <v>2500</v>
      </c>
      <c r="BI6" s="258">
        <f t="shared" si="10"/>
        <v>2500</v>
      </c>
      <c r="BJ6" s="258">
        <f t="shared" si="10"/>
        <v>2500</v>
      </c>
      <c r="BK6" s="260">
        <v>0.04</v>
      </c>
      <c r="BL6" s="256">
        <f>($BK$4*'Tab H'!K5)</f>
        <v>12080.76</v>
      </c>
      <c r="BM6" s="256">
        <f>($BK$4*'Tab H'!L5)</f>
        <v>12080.76</v>
      </c>
      <c r="BN6" s="256">
        <f>($BK$4*'Tab H'!M5)</f>
        <v>12443.1828</v>
      </c>
      <c r="BO6" s="256">
        <f>($BK$4*'Tab H'!N5)</f>
        <v>12816.478284000001</v>
      </c>
      <c r="BP6" s="256">
        <f>($BK$4*'Tab H'!O5)</f>
        <v>13200.972632520001</v>
      </c>
      <c r="BQ6" s="256">
        <f>($BK$4*'Tab H'!P5)</f>
        <v>13597.0018114956</v>
      </c>
      <c r="BR6" s="256">
        <f t="shared" si="31"/>
        <v>14110</v>
      </c>
      <c r="BS6" s="257">
        <f>ROUND($BK$4*'Tab H'!R5,0)</f>
        <v>14110</v>
      </c>
      <c r="BT6" s="258">
        <f t="shared" si="32"/>
        <v>3527.5</v>
      </c>
      <c r="BU6" s="258">
        <f t="shared" si="11"/>
        <v>3527.5</v>
      </c>
      <c r="BV6" s="258">
        <f t="shared" si="11"/>
        <v>3527.5</v>
      </c>
      <c r="BW6" s="258">
        <f t="shared" si="11"/>
        <v>3527.5</v>
      </c>
      <c r="BX6" s="255">
        <v>0.04</v>
      </c>
      <c r="CF6" s="260">
        <v>0.21</v>
      </c>
      <c r="CG6" s="256">
        <f>($CF$4*'Tab H'!K5)</f>
        <v>63423.99</v>
      </c>
      <c r="CH6" s="256">
        <f>($CF$4*'Tab H'!L5)</f>
        <v>63423.99</v>
      </c>
      <c r="CI6" s="256">
        <f>($CF$4*'Tab H'!M5)</f>
        <v>65326.709699999999</v>
      </c>
      <c r="CJ6" s="256">
        <f>($CF$4*'Tab H'!N5)</f>
        <v>67286.510991000003</v>
      </c>
      <c r="CK6" s="256">
        <f>($CF$4*'Tab H'!O5)</f>
        <v>69305.106320730003</v>
      </c>
      <c r="CL6" s="256">
        <f>($CF$4*'Tab H'!P5)</f>
        <v>71384.259510351898</v>
      </c>
      <c r="CM6" s="206">
        <f>ROUND($CF$4*'Tab H'!Q5,0)</f>
        <v>74076</v>
      </c>
      <c r="CN6" s="257">
        <f>ROUND($CF$4*'Tab H'!R5,0)</f>
        <v>74076</v>
      </c>
      <c r="CO6" s="258">
        <f t="shared" si="33"/>
        <v>18519</v>
      </c>
      <c r="CP6" s="258">
        <f t="shared" si="12"/>
        <v>18519</v>
      </c>
      <c r="CQ6" s="258">
        <f t="shared" si="12"/>
        <v>18519</v>
      </c>
      <c r="CR6" s="258">
        <f t="shared" si="12"/>
        <v>18519</v>
      </c>
      <c r="CS6" s="206">
        <v>8.0000000000000002E-3</v>
      </c>
      <c r="CT6" s="206">
        <v>8.0000000000000002E-3</v>
      </c>
      <c r="CU6" s="206">
        <v>8.0000000000000002E-3</v>
      </c>
      <c r="CV6" s="206">
        <v>8.0000000000000002E-3</v>
      </c>
      <c r="CW6" s="206">
        <v>8.0000000000000002E-3</v>
      </c>
      <c r="CX6" s="206">
        <v>8.0000000000000002E-3</v>
      </c>
      <c r="CY6" s="206">
        <v>8.0000000000000002E-3</v>
      </c>
      <c r="CZ6" s="259">
        <f t="shared" si="13"/>
        <v>8.0000000000000002E-3</v>
      </c>
      <c r="DA6" s="259">
        <f t="shared" si="14"/>
        <v>8.0000000000000002E-3</v>
      </c>
      <c r="DB6" s="259">
        <f t="shared" si="15"/>
        <v>8.0000000000000002E-3</v>
      </c>
      <c r="DC6" s="259">
        <f t="shared" si="16"/>
        <v>8.0000000000000002E-3</v>
      </c>
      <c r="DD6" s="259">
        <f t="shared" si="17"/>
        <v>8.0000000000000002E-3</v>
      </c>
      <c r="DE6" s="259">
        <f t="shared" si="18"/>
        <v>8.0000000000000002E-3</v>
      </c>
      <c r="DF6" s="256">
        <f t="shared" si="34"/>
        <v>507.39191999999997</v>
      </c>
      <c r="DG6" s="256">
        <f t="shared" si="35"/>
        <v>507.39191999999997</v>
      </c>
      <c r="DH6" s="256">
        <f t="shared" si="36"/>
        <v>522.61367759999996</v>
      </c>
      <c r="DI6" s="256">
        <f t="shared" si="37"/>
        <v>538.292087928</v>
      </c>
      <c r="DJ6" s="256">
        <f t="shared" si="38"/>
        <v>554.44085056584004</v>
      </c>
      <c r="DK6" s="256">
        <f t="shared" si="39"/>
        <v>571.07407608281517</v>
      </c>
      <c r="DL6" s="206">
        <f t="shared" si="40"/>
        <v>593</v>
      </c>
      <c r="DM6" s="257">
        <f t="shared" si="20"/>
        <v>593</v>
      </c>
      <c r="DN6" s="258">
        <f t="shared" si="41"/>
        <v>148.25</v>
      </c>
      <c r="DO6" s="258">
        <f t="shared" si="21"/>
        <v>148.25</v>
      </c>
      <c r="DP6" s="258">
        <f t="shared" si="21"/>
        <v>148.25</v>
      </c>
      <c r="DQ6" s="258">
        <f t="shared" si="21"/>
        <v>148.25</v>
      </c>
    </row>
    <row r="7" spans="1:121" x14ac:dyDescent="0.3">
      <c r="A7" s="750"/>
      <c r="B7" s="205" t="s">
        <v>136</v>
      </c>
      <c r="C7" s="206">
        <v>13</v>
      </c>
      <c r="D7" s="255">
        <v>3.49E-2</v>
      </c>
      <c r="E7" s="256">
        <f>($D$4*'Tab H'!K6)</f>
        <v>3039.3712</v>
      </c>
      <c r="F7" s="256">
        <f>($D$4*'Tab H'!L6)</f>
        <v>2279.5284000000001</v>
      </c>
      <c r="G7" s="256">
        <f>($D$4*'Tab H'!M6)</f>
        <v>3130.5523360000002</v>
      </c>
      <c r="H7" s="256">
        <f>($D$4*'Tab H'!N6)</f>
        <v>3224.4689060799997</v>
      </c>
      <c r="I7" s="256">
        <f>($D$4*'Tab H'!O6)</f>
        <v>3321.2029732623996</v>
      </c>
      <c r="J7" s="256">
        <f>($D$4*'Tab H'!P6)</f>
        <v>3420.8390624602721</v>
      </c>
      <c r="K7" s="206">
        <f>ROUND($D$4*'Tab H'!Q6,0)</f>
        <v>3550</v>
      </c>
      <c r="L7" s="257">
        <f>ROUND($D$4*'Tab H'!R6,0)</f>
        <v>3550</v>
      </c>
      <c r="M7" s="258">
        <f t="shared" si="0"/>
        <v>887.5</v>
      </c>
      <c r="N7" s="258">
        <f t="shared" si="0"/>
        <v>887.5</v>
      </c>
      <c r="O7" s="258">
        <f t="shared" si="0"/>
        <v>887.5</v>
      </c>
      <c r="P7" s="258">
        <f t="shared" si="0"/>
        <v>887.5</v>
      </c>
      <c r="Q7" s="255">
        <v>3.49E-2</v>
      </c>
      <c r="Y7" s="259">
        <v>0.189</v>
      </c>
      <c r="Z7" s="256">
        <f>(0.18*'Tab H'!K6)</f>
        <v>15675.84</v>
      </c>
      <c r="AA7" s="256">
        <f>(0.18*'Tab H'!L6)</f>
        <v>11756.88</v>
      </c>
      <c r="AB7" s="256">
        <f>(0.18*'Tab H'!M6)</f>
        <v>16146.1152</v>
      </c>
      <c r="AC7" s="256">
        <f>(0.18*'Tab H'!N6)</f>
        <v>16630.498656</v>
      </c>
      <c r="AD7" s="256">
        <f>(0.18*'Tab H'!O6)</f>
        <v>17129.413615679998</v>
      </c>
      <c r="AE7" s="256">
        <f>(0.18*'Tab H'!P6)</f>
        <v>17643.296024150401</v>
      </c>
      <c r="AF7" s="206">
        <f>ROUND($Y$4*'Tab H'!Q6,0)</f>
        <v>19225</v>
      </c>
      <c r="AG7" s="257">
        <f>ROUND($Y$4*'Tab H'!R6,0)</f>
        <v>19225</v>
      </c>
      <c r="AH7" s="258">
        <f t="shared" si="22"/>
        <v>4806.25</v>
      </c>
      <c r="AI7" s="258">
        <f t="shared" si="1"/>
        <v>4806.25</v>
      </c>
      <c r="AJ7" s="258">
        <f t="shared" si="1"/>
        <v>4806.25</v>
      </c>
      <c r="AK7" s="258">
        <f t="shared" si="1"/>
        <v>4806.25</v>
      </c>
      <c r="AL7" s="206">
        <v>0.15</v>
      </c>
      <c r="AM7" s="206">
        <v>0.15</v>
      </c>
      <c r="AN7" s="206">
        <v>0.15</v>
      </c>
      <c r="AO7" s="206">
        <v>0.15</v>
      </c>
      <c r="AP7" s="206">
        <v>0.15</v>
      </c>
      <c r="AQ7" s="206">
        <v>0.15</v>
      </c>
      <c r="AR7" s="206">
        <v>0.15</v>
      </c>
      <c r="AS7" s="260">
        <f t="shared" si="2"/>
        <v>0.15</v>
      </c>
      <c r="AT7" s="260">
        <f t="shared" si="3"/>
        <v>0.15</v>
      </c>
      <c r="AU7" s="260">
        <f t="shared" si="4"/>
        <v>0.15</v>
      </c>
      <c r="AV7" s="260">
        <f t="shared" si="5"/>
        <v>0.15</v>
      </c>
      <c r="AW7" s="260">
        <f t="shared" si="6"/>
        <v>0.15</v>
      </c>
      <c r="AX7" s="260">
        <f t="shared" si="7"/>
        <v>0.15</v>
      </c>
      <c r="AY7" s="256">
        <f t="shared" si="23"/>
        <v>2351.3759999999997</v>
      </c>
      <c r="AZ7" s="256">
        <f t="shared" si="24"/>
        <v>1763.5319999999999</v>
      </c>
      <c r="BA7" s="256">
        <f t="shared" si="25"/>
        <v>2421.9172800000001</v>
      </c>
      <c r="BB7" s="256">
        <f t="shared" si="26"/>
        <v>2494.5747984</v>
      </c>
      <c r="BC7" s="256">
        <f t="shared" si="27"/>
        <v>2569.4120423519994</v>
      </c>
      <c r="BD7" s="256">
        <f t="shared" si="28"/>
        <v>2646.4944036225602</v>
      </c>
      <c r="BE7" s="206">
        <f t="shared" si="29"/>
        <v>2884</v>
      </c>
      <c r="BF7" s="257">
        <f t="shared" si="9"/>
        <v>2884</v>
      </c>
      <c r="BG7" s="258">
        <f t="shared" si="30"/>
        <v>721</v>
      </c>
      <c r="BH7" s="258">
        <f t="shared" si="10"/>
        <v>721</v>
      </c>
      <c r="BI7" s="258">
        <f t="shared" si="10"/>
        <v>721</v>
      </c>
      <c r="BJ7" s="258">
        <f t="shared" si="10"/>
        <v>721</v>
      </c>
      <c r="BK7" s="260">
        <v>0.04</v>
      </c>
      <c r="BL7" s="256">
        <f>($BK$4*'Tab H'!K6)</f>
        <v>3483.52</v>
      </c>
      <c r="BM7" s="256">
        <f>($BK$4*'Tab H'!L6)</f>
        <v>2612.64</v>
      </c>
      <c r="BN7" s="256">
        <f>($BK$4*'Tab H'!M6)</f>
        <v>3588.0255999999999</v>
      </c>
      <c r="BO7" s="256">
        <f>($BK$4*'Tab H'!N6)</f>
        <v>3695.6663679999997</v>
      </c>
      <c r="BP7" s="256">
        <f>($BK$4*'Tab H'!O6)</f>
        <v>3806.5363590399998</v>
      </c>
      <c r="BQ7" s="256">
        <f>($BK$4*'Tab H'!P6)</f>
        <v>3920.7324498111998</v>
      </c>
      <c r="BR7" s="256">
        <f t="shared" si="31"/>
        <v>4069</v>
      </c>
      <c r="BS7" s="257">
        <f>ROUND($BK$4*'Tab H'!R6,0)</f>
        <v>4069</v>
      </c>
      <c r="BT7" s="258">
        <f t="shared" si="32"/>
        <v>1017.25</v>
      </c>
      <c r="BU7" s="258">
        <f t="shared" si="11"/>
        <v>1017.25</v>
      </c>
      <c r="BV7" s="258">
        <f t="shared" si="11"/>
        <v>1017.25</v>
      </c>
      <c r="BW7" s="258">
        <f t="shared" si="11"/>
        <v>1017.25</v>
      </c>
      <c r="BX7" s="255">
        <v>0.04</v>
      </c>
      <c r="CF7" s="260">
        <v>0.21</v>
      </c>
      <c r="CG7" s="256">
        <f>($CF$4*'Tab H'!K6)</f>
        <v>18288.48</v>
      </c>
      <c r="CH7" s="256">
        <f>($CF$4*'Tab H'!L6)</f>
        <v>13716.359999999999</v>
      </c>
      <c r="CI7" s="256">
        <f>($CF$4*'Tab H'!M6)</f>
        <v>18837.134399999999</v>
      </c>
      <c r="CJ7" s="256">
        <f>($CF$4*'Tab H'!N6)</f>
        <v>19402.248431999997</v>
      </c>
      <c r="CK7" s="256">
        <f>($CF$4*'Tab H'!O6)</f>
        <v>19984.315884959997</v>
      </c>
      <c r="CL7" s="256">
        <f>($CF$4*'Tab H'!P6)</f>
        <v>20583.8453615088</v>
      </c>
      <c r="CM7" s="206">
        <f>ROUND($CF$4*'Tab H'!Q6,0)</f>
        <v>21361</v>
      </c>
      <c r="CN7" s="257">
        <f>ROUND($CF$4*'Tab H'!R6,0)</f>
        <v>21361</v>
      </c>
      <c r="CO7" s="258">
        <f t="shared" si="33"/>
        <v>5340.25</v>
      </c>
      <c r="CP7" s="258">
        <f t="shared" si="12"/>
        <v>5340.25</v>
      </c>
      <c r="CQ7" s="258">
        <f t="shared" si="12"/>
        <v>5340.25</v>
      </c>
      <c r="CR7" s="258">
        <f t="shared" si="12"/>
        <v>5340.25</v>
      </c>
      <c r="CS7" s="206">
        <v>8.0000000000000002E-3</v>
      </c>
      <c r="CT7" s="206">
        <v>8.0000000000000002E-3</v>
      </c>
      <c r="CU7" s="206">
        <v>8.0000000000000002E-3</v>
      </c>
      <c r="CV7" s="206">
        <v>8.0000000000000002E-3</v>
      </c>
      <c r="CW7" s="206">
        <v>8.0000000000000002E-3</v>
      </c>
      <c r="CX7" s="206">
        <v>8.0000000000000002E-3</v>
      </c>
      <c r="CY7" s="206">
        <v>8.0000000000000002E-3</v>
      </c>
      <c r="CZ7" s="259">
        <f t="shared" si="13"/>
        <v>8.0000000000000002E-3</v>
      </c>
      <c r="DA7" s="259">
        <f t="shared" si="14"/>
        <v>8.0000000000000002E-3</v>
      </c>
      <c r="DB7" s="259">
        <f t="shared" si="15"/>
        <v>8.0000000000000002E-3</v>
      </c>
      <c r="DC7" s="259">
        <f t="shared" si="16"/>
        <v>8.0000000000000002E-3</v>
      </c>
      <c r="DD7" s="259">
        <f t="shared" si="17"/>
        <v>8.0000000000000002E-3</v>
      </c>
      <c r="DE7" s="259">
        <f t="shared" si="18"/>
        <v>8.0000000000000002E-3</v>
      </c>
      <c r="DF7" s="256">
        <f t="shared" si="34"/>
        <v>146.30784</v>
      </c>
      <c r="DG7" s="256">
        <f t="shared" si="35"/>
        <v>109.73088</v>
      </c>
      <c r="DH7" s="256">
        <f t="shared" si="36"/>
        <v>150.6970752</v>
      </c>
      <c r="DI7" s="256">
        <f t="shared" si="37"/>
        <v>155.21798745599997</v>
      </c>
      <c r="DJ7" s="256">
        <f t="shared" si="38"/>
        <v>159.87452707967998</v>
      </c>
      <c r="DK7" s="256">
        <f t="shared" si="39"/>
        <v>164.6707628920704</v>
      </c>
      <c r="DL7" s="206">
        <f t="shared" si="40"/>
        <v>171</v>
      </c>
      <c r="DM7" s="257">
        <f t="shared" si="20"/>
        <v>171</v>
      </c>
      <c r="DN7" s="258">
        <f t="shared" si="41"/>
        <v>42.75</v>
      </c>
      <c r="DO7" s="258">
        <f t="shared" si="21"/>
        <v>42.75</v>
      </c>
      <c r="DP7" s="258">
        <f t="shared" si="21"/>
        <v>42.75</v>
      </c>
      <c r="DQ7" s="258">
        <f t="shared" si="21"/>
        <v>42.75</v>
      </c>
    </row>
    <row r="8" spans="1:121" x14ac:dyDescent="0.3">
      <c r="A8" s="750"/>
      <c r="B8" s="205" t="s">
        <v>137</v>
      </c>
      <c r="C8" s="206">
        <v>9</v>
      </c>
      <c r="D8" s="255">
        <v>3.49E-2</v>
      </c>
      <c r="E8" s="256">
        <f>($D$4*'Tab H'!K7)</f>
        <v>4704.3455000000004</v>
      </c>
      <c r="F8" s="256">
        <f>($D$4*'Tab H'!L7)</f>
        <v>3528.259125</v>
      </c>
      <c r="G8" s="256">
        <f>($D$4*'Tab H'!M7)</f>
        <v>4845.4758650000003</v>
      </c>
      <c r="H8" s="256">
        <f>($D$4*'Tab H'!N7)</f>
        <v>4990.8401409500002</v>
      </c>
      <c r="I8" s="256">
        <f>($D$4*'Tab H'!O7)</f>
        <v>5140.565345178501</v>
      </c>
      <c r="J8" s="256">
        <f>($D$4*'Tab H'!P7)</f>
        <v>5294.7823055338567</v>
      </c>
      <c r="K8" s="206">
        <f>ROUND($D$4*'Tab H'!Q7,0)</f>
        <v>5495</v>
      </c>
      <c r="L8" s="257">
        <f>ROUND($D$4*'Tab H'!R7,0)</f>
        <v>5495</v>
      </c>
      <c r="M8" s="258">
        <f t="shared" si="0"/>
        <v>1373.75</v>
      </c>
      <c r="N8" s="258">
        <f t="shared" si="0"/>
        <v>1373.75</v>
      </c>
      <c r="O8" s="258">
        <f t="shared" si="0"/>
        <v>1373.75</v>
      </c>
      <c r="P8" s="258">
        <f t="shared" si="0"/>
        <v>1373.75</v>
      </c>
      <c r="Q8" s="255">
        <v>3.49E-2</v>
      </c>
      <c r="Y8" s="259">
        <v>0.189</v>
      </c>
      <c r="Z8" s="256">
        <f>(0.18*'Tab H'!K7)</f>
        <v>24263.1</v>
      </c>
      <c r="AA8" s="256">
        <f>(0.18*'Tab H'!L7)</f>
        <v>18197.325000000001</v>
      </c>
      <c r="AB8" s="256">
        <f>(0.18*'Tab H'!M7)</f>
        <v>24990.992999999999</v>
      </c>
      <c r="AC8" s="256">
        <f>(0.18*'Tab H'!N7)</f>
        <v>25740.72279</v>
      </c>
      <c r="AD8" s="256">
        <f>(0.18*'Tab H'!O7)</f>
        <v>26512.944473700005</v>
      </c>
      <c r="AE8" s="256">
        <f>(0.18*'Tab H'!P7)</f>
        <v>27308.332807911007</v>
      </c>
      <c r="AF8" s="206">
        <f>ROUND($Y$4*'Tab H'!Q7,0)</f>
        <v>29755</v>
      </c>
      <c r="AG8" s="257">
        <f>ROUND($Y$4*'Tab H'!R7,0)</f>
        <v>29755</v>
      </c>
      <c r="AH8" s="258">
        <f t="shared" si="22"/>
        <v>7438.75</v>
      </c>
      <c r="AI8" s="258">
        <f t="shared" si="1"/>
        <v>7438.75</v>
      </c>
      <c r="AJ8" s="258">
        <f t="shared" si="1"/>
        <v>7438.75</v>
      </c>
      <c r="AK8" s="258">
        <f t="shared" si="1"/>
        <v>7438.75</v>
      </c>
      <c r="AL8" s="206">
        <v>0.15</v>
      </c>
      <c r="AM8" s="206">
        <v>0.15</v>
      </c>
      <c r="AN8" s="206">
        <v>0.15</v>
      </c>
      <c r="AO8" s="206">
        <v>0.15</v>
      </c>
      <c r="AP8" s="206">
        <v>0.15</v>
      </c>
      <c r="AQ8" s="206">
        <v>0.15</v>
      </c>
      <c r="AR8" s="206">
        <v>0.15</v>
      </c>
      <c r="AS8" s="260">
        <f t="shared" si="2"/>
        <v>0.15</v>
      </c>
      <c r="AT8" s="260">
        <f t="shared" si="3"/>
        <v>0.15</v>
      </c>
      <c r="AU8" s="260">
        <f t="shared" si="4"/>
        <v>0.15</v>
      </c>
      <c r="AV8" s="260">
        <f t="shared" si="5"/>
        <v>0.15</v>
      </c>
      <c r="AW8" s="260">
        <f t="shared" si="6"/>
        <v>0.15</v>
      </c>
      <c r="AX8" s="260">
        <f t="shared" si="7"/>
        <v>0.15</v>
      </c>
      <c r="AY8" s="256">
        <f t="shared" si="23"/>
        <v>3639.4649999999997</v>
      </c>
      <c r="AZ8" s="256">
        <f t="shared" si="24"/>
        <v>2729.5987500000001</v>
      </c>
      <c r="BA8" s="256">
        <f t="shared" si="25"/>
        <v>3748.6489499999998</v>
      </c>
      <c r="BB8" s="256">
        <f t="shared" si="26"/>
        <v>3861.1084185</v>
      </c>
      <c r="BC8" s="256">
        <f t="shared" si="27"/>
        <v>3976.9416710550004</v>
      </c>
      <c r="BD8" s="256">
        <f t="shared" si="28"/>
        <v>4096.2499211866507</v>
      </c>
      <c r="BE8" s="206">
        <f t="shared" si="29"/>
        <v>4463</v>
      </c>
      <c r="BF8" s="257">
        <f t="shared" si="9"/>
        <v>4463</v>
      </c>
      <c r="BG8" s="258">
        <f t="shared" si="30"/>
        <v>1115.75</v>
      </c>
      <c r="BH8" s="258">
        <f t="shared" si="10"/>
        <v>1115.75</v>
      </c>
      <c r="BI8" s="258">
        <f t="shared" si="10"/>
        <v>1115.75</v>
      </c>
      <c r="BJ8" s="258">
        <f t="shared" si="10"/>
        <v>1115.75</v>
      </c>
      <c r="BK8" s="260">
        <v>0.04</v>
      </c>
      <c r="BL8" s="256">
        <f>($BK$4*'Tab H'!K7)</f>
        <v>5391.8</v>
      </c>
      <c r="BM8" s="256">
        <f>($BK$4*'Tab H'!L7)</f>
        <v>4043.85</v>
      </c>
      <c r="BN8" s="256">
        <f>($BK$4*'Tab H'!M7)</f>
        <v>5553.5540000000001</v>
      </c>
      <c r="BO8" s="256">
        <f>($BK$4*'Tab H'!N7)</f>
        <v>5720.1606200000006</v>
      </c>
      <c r="BP8" s="256">
        <f>($BK$4*'Tab H'!O7)</f>
        <v>5891.7654386000013</v>
      </c>
      <c r="BQ8" s="256">
        <f>($BK$4*'Tab H'!P7)</f>
        <v>6068.5184017580013</v>
      </c>
      <c r="BR8" s="256">
        <f t="shared" si="31"/>
        <v>6297</v>
      </c>
      <c r="BS8" s="257">
        <f>ROUND($BK$4*'Tab H'!R7,0)</f>
        <v>6297</v>
      </c>
      <c r="BT8" s="258">
        <f t="shared" si="32"/>
        <v>1574.25</v>
      </c>
      <c r="BU8" s="258">
        <f t="shared" si="11"/>
        <v>1574.25</v>
      </c>
      <c r="BV8" s="258">
        <f t="shared" si="11"/>
        <v>1574.25</v>
      </c>
      <c r="BW8" s="258">
        <f t="shared" si="11"/>
        <v>1574.25</v>
      </c>
      <c r="BX8" s="255">
        <v>0.04</v>
      </c>
      <c r="CF8" s="260">
        <v>0.21</v>
      </c>
      <c r="CG8" s="256">
        <f>($CF$4*'Tab H'!K7)</f>
        <v>28306.95</v>
      </c>
      <c r="CH8" s="256">
        <f>($CF$4*'Tab H'!L7)</f>
        <v>21230.212499999998</v>
      </c>
      <c r="CI8" s="256">
        <f>($CF$4*'Tab H'!M7)</f>
        <v>29156.158500000001</v>
      </c>
      <c r="CJ8" s="256">
        <f>($CF$4*'Tab H'!N7)</f>
        <v>30030.843255</v>
      </c>
      <c r="CK8" s="256">
        <f>($CF$4*'Tab H'!O7)</f>
        <v>30931.768552650003</v>
      </c>
      <c r="CL8" s="256">
        <f>($CF$4*'Tab H'!P7)</f>
        <v>31859.721609229506</v>
      </c>
      <c r="CM8" s="206">
        <f>ROUND($CF$4*'Tab H'!Q7,0)</f>
        <v>33062</v>
      </c>
      <c r="CN8" s="257">
        <f>ROUND($CF$4*'Tab H'!R7,0)</f>
        <v>33062</v>
      </c>
      <c r="CO8" s="258">
        <f t="shared" si="33"/>
        <v>8265.5</v>
      </c>
      <c r="CP8" s="258">
        <f t="shared" si="12"/>
        <v>8265.5</v>
      </c>
      <c r="CQ8" s="258">
        <f t="shared" si="12"/>
        <v>8265.5</v>
      </c>
      <c r="CR8" s="258">
        <f t="shared" si="12"/>
        <v>8265.5</v>
      </c>
      <c r="CS8" s="206">
        <v>8.0000000000000002E-3</v>
      </c>
      <c r="CT8" s="206">
        <v>8.0000000000000002E-3</v>
      </c>
      <c r="CU8" s="206">
        <v>8.0000000000000002E-3</v>
      </c>
      <c r="CV8" s="206">
        <v>8.0000000000000002E-3</v>
      </c>
      <c r="CW8" s="206">
        <v>8.0000000000000002E-3</v>
      </c>
      <c r="CX8" s="206">
        <v>8.0000000000000002E-3</v>
      </c>
      <c r="CY8" s="206">
        <v>8.0000000000000002E-3</v>
      </c>
      <c r="CZ8" s="259">
        <f t="shared" si="13"/>
        <v>8.0000000000000002E-3</v>
      </c>
      <c r="DA8" s="259">
        <f t="shared" si="14"/>
        <v>8.0000000000000002E-3</v>
      </c>
      <c r="DB8" s="259">
        <f t="shared" si="15"/>
        <v>8.0000000000000002E-3</v>
      </c>
      <c r="DC8" s="259">
        <f t="shared" si="16"/>
        <v>8.0000000000000002E-3</v>
      </c>
      <c r="DD8" s="259">
        <f t="shared" si="17"/>
        <v>8.0000000000000002E-3</v>
      </c>
      <c r="DE8" s="259">
        <f t="shared" si="18"/>
        <v>8.0000000000000002E-3</v>
      </c>
      <c r="DF8" s="256">
        <f t="shared" si="34"/>
        <v>226.4556</v>
      </c>
      <c r="DG8" s="256">
        <f t="shared" si="35"/>
        <v>169.84169999999997</v>
      </c>
      <c r="DH8" s="256">
        <f t="shared" si="36"/>
        <v>233.24926800000003</v>
      </c>
      <c r="DI8" s="256">
        <f t="shared" si="37"/>
        <v>240.24674604</v>
      </c>
      <c r="DJ8" s="256">
        <f t="shared" si="38"/>
        <v>247.45414842120002</v>
      </c>
      <c r="DK8" s="256">
        <f t="shared" si="39"/>
        <v>254.87777287383605</v>
      </c>
      <c r="DL8" s="206">
        <f t="shared" si="40"/>
        <v>264</v>
      </c>
      <c r="DM8" s="257">
        <f t="shared" si="20"/>
        <v>264</v>
      </c>
      <c r="DN8" s="258">
        <f t="shared" si="41"/>
        <v>66</v>
      </c>
      <c r="DO8" s="258">
        <f t="shared" si="21"/>
        <v>66</v>
      </c>
      <c r="DP8" s="258">
        <f t="shared" si="21"/>
        <v>66</v>
      </c>
      <c r="DQ8" s="258">
        <f t="shared" si="21"/>
        <v>66</v>
      </c>
    </row>
    <row r="9" spans="1:121" x14ac:dyDescent="0.3">
      <c r="A9" s="750"/>
      <c r="B9" s="205" t="s">
        <v>138</v>
      </c>
      <c r="C9" s="206">
        <v>11</v>
      </c>
      <c r="D9" s="255">
        <v>3.49E-2</v>
      </c>
      <c r="E9" s="256">
        <f>($D$4*'Tab H'!K8)</f>
        <v>3323.7712999999994</v>
      </c>
      <c r="F9" s="256">
        <f>($D$4*'Tab H'!L8)</f>
        <v>2492.8284749999993</v>
      </c>
      <c r="G9" s="256">
        <f>($D$4*'Tab H'!M8)</f>
        <v>3423.4844389999994</v>
      </c>
      <c r="H9" s="256">
        <f>($D$4*'Tab H'!N8)</f>
        <v>3526.1889721699995</v>
      </c>
      <c r="I9" s="256">
        <f>($D$4*'Tab H'!O8)</f>
        <v>3631.9746413350995</v>
      </c>
      <c r="J9" s="256">
        <f>($D$4*'Tab H'!P8)</f>
        <v>3740.9338805751531</v>
      </c>
      <c r="K9" s="206">
        <f>ROUND($D$4*'Tab H'!Q8,0)</f>
        <v>3769</v>
      </c>
      <c r="L9" s="257">
        <f>ROUND($D$4*'Tab H'!R8,0)</f>
        <v>3769</v>
      </c>
      <c r="M9" s="258">
        <f t="shared" si="0"/>
        <v>942.25</v>
      </c>
      <c r="N9" s="258">
        <f t="shared" si="0"/>
        <v>942.25</v>
      </c>
      <c r="O9" s="258">
        <f t="shared" si="0"/>
        <v>942.25</v>
      </c>
      <c r="P9" s="258">
        <f t="shared" si="0"/>
        <v>942.25</v>
      </c>
      <c r="Q9" s="255">
        <v>3.49E-2</v>
      </c>
      <c r="Y9" s="259">
        <v>0.189</v>
      </c>
      <c r="Z9" s="256">
        <f>(0.18*'Tab H'!K8)</f>
        <v>17142.659999999996</v>
      </c>
      <c r="AA9" s="256">
        <f>(0.18*'Tab H'!L8)</f>
        <v>12856.994999999997</v>
      </c>
      <c r="AB9" s="256">
        <f>(0.18*'Tab H'!M8)</f>
        <v>17656.939799999996</v>
      </c>
      <c r="AC9" s="256">
        <f>(0.18*'Tab H'!N8)</f>
        <v>18186.647993999999</v>
      </c>
      <c r="AD9" s="256">
        <f>(0.18*'Tab H'!O8)</f>
        <v>18732.247433819997</v>
      </c>
      <c r="AE9" s="256">
        <f>(0.18*'Tab H'!P8)</f>
        <v>19294.214856834598</v>
      </c>
      <c r="AF9" s="206">
        <f>ROUND($Y$4*'Tab H'!Q8,0)</f>
        <v>20411</v>
      </c>
      <c r="AG9" s="257">
        <f>ROUND($Y$4*'Tab H'!R8,0)</f>
        <v>20411</v>
      </c>
      <c r="AH9" s="258">
        <f t="shared" si="22"/>
        <v>5102.75</v>
      </c>
      <c r="AI9" s="258">
        <f t="shared" si="1"/>
        <v>5102.75</v>
      </c>
      <c r="AJ9" s="258">
        <f t="shared" si="1"/>
        <v>5102.75</v>
      </c>
      <c r="AK9" s="258">
        <f t="shared" si="1"/>
        <v>5102.75</v>
      </c>
      <c r="AL9" s="206">
        <v>0.15</v>
      </c>
      <c r="AM9" s="206">
        <v>0.15</v>
      </c>
      <c r="AN9" s="206">
        <v>0.15</v>
      </c>
      <c r="AO9" s="206">
        <v>0.15</v>
      </c>
      <c r="AP9" s="206">
        <v>0.15</v>
      </c>
      <c r="AQ9" s="206">
        <v>0.15</v>
      </c>
      <c r="AR9" s="206">
        <v>0.15</v>
      </c>
      <c r="AS9" s="260">
        <f t="shared" si="2"/>
        <v>0.15</v>
      </c>
      <c r="AT9" s="260">
        <f t="shared" si="3"/>
        <v>0.15</v>
      </c>
      <c r="AU9" s="260">
        <f t="shared" si="4"/>
        <v>0.15</v>
      </c>
      <c r="AV9" s="260">
        <f t="shared" si="5"/>
        <v>0.15</v>
      </c>
      <c r="AW9" s="260">
        <f t="shared" si="6"/>
        <v>0.15</v>
      </c>
      <c r="AX9" s="260">
        <f t="shared" si="7"/>
        <v>0.15</v>
      </c>
      <c r="AY9" s="256">
        <f t="shared" si="23"/>
        <v>2571.3989999999994</v>
      </c>
      <c r="AZ9" s="256">
        <f t="shared" si="24"/>
        <v>1928.5492499999996</v>
      </c>
      <c r="BA9" s="256">
        <f t="shared" si="25"/>
        <v>2648.5409699999996</v>
      </c>
      <c r="BB9" s="256">
        <f t="shared" si="26"/>
        <v>2727.9971990999998</v>
      </c>
      <c r="BC9" s="256">
        <f t="shared" si="27"/>
        <v>2809.8371150729995</v>
      </c>
      <c r="BD9" s="256">
        <f t="shared" si="28"/>
        <v>2894.1322285251895</v>
      </c>
      <c r="BE9" s="206">
        <f t="shared" si="29"/>
        <v>3062</v>
      </c>
      <c r="BF9" s="257">
        <f t="shared" si="9"/>
        <v>3062</v>
      </c>
      <c r="BG9" s="258">
        <f t="shared" si="30"/>
        <v>765.5</v>
      </c>
      <c r="BH9" s="258">
        <f t="shared" si="10"/>
        <v>765.5</v>
      </c>
      <c r="BI9" s="258">
        <f t="shared" si="10"/>
        <v>765.5</v>
      </c>
      <c r="BJ9" s="258">
        <f t="shared" si="10"/>
        <v>765.5</v>
      </c>
      <c r="BK9" s="260">
        <v>0.04</v>
      </c>
      <c r="BL9" s="256">
        <f>($BK$4*'Tab H'!K8)</f>
        <v>3809.4799999999996</v>
      </c>
      <c r="BM9" s="256">
        <f>($BK$4*'Tab H'!L8)</f>
        <v>2857.1099999999997</v>
      </c>
      <c r="BN9" s="256">
        <f>($BK$4*'Tab H'!M8)</f>
        <v>3923.7643999999996</v>
      </c>
      <c r="BO9" s="256">
        <f>($BK$4*'Tab H'!N8)</f>
        <v>4041.4773319999995</v>
      </c>
      <c r="BP9" s="256">
        <f>($BK$4*'Tab H'!O8)</f>
        <v>4162.7216519599997</v>
      </c>
      <c r="BQ9" s="256">
        <f>($BK$4*'Tab H'!P8)</f>
        <v>4287.6033015187995</v>
      </c>
      <c r="BR9" s="256">
        <f t="shared" si="31"/>
        <v>4320</v>
      </c>
      <c r="BS9" s="257">
        <f>ROUND($BK$4*'Tab H'!R8,0)</f>
        <v>4320</v>
      </c>
      <c r="BT9" s="258">
        <f t="shared" si="32"/>
        <v>1080</v>
      </c>
      <c r="BU9" s="258">
        <f t="shared" si="11"/>
        <v>1080</v>
      </c>
      <c r="BV9" s="258">
        <f t="shared" si="11"/>
        <v>1080</v>
      </c>
      <c r="BW9" s="258">
        <f t="shared" si="11"/>
        <v>1080</v>
      </c>
      <c r="BX9" s="255">
        <v>0.04</v>
      </c>
      <c r="CF9" s="260">
        <v>0.21</v>
      </c>
      <c r="CG9" s="256">
        <f>($CF$4*'Tab H'!K8)</f>
        <v>19999.769999999997</v>
      </c>
      <c r="CH9" s="256">
        <f>($CF$4*'Tab H'!L8)</f>
        <v>14999.827499999996</v>
      </c>
      <c r="CI9" s="256">
        <f>($CF$4*'Tab H'!M8)</f>
        <v>20599.763099999996</v>
      </c>
      <c r="CJ9" s="256">
        <f>($CF$4*'Tab H'!N8)</f>
        <v>21217.755992999999</v>
      </c>
      <c r="CK9" s="256">
        <f>($CF$4*'Tab H'!O8)</f>
        <v>21854.288672789997</v>
      </c>
      <c r="CL9" s="256">
        <f>($CF$4*'Tab H'!P8)</f>
        <v>22509.917332973699</v>
      </c>
      <c r="CM9" s="206">
        <f>ROUND($CF$4*'Tab H'!Q8,0)</f>
        <v>22679</v>
      </c>
      <c r="CN9" s="257">
        <f>ROUND($CF$4*'Tab H'!R8,0)</f>
        <v>22679</v>
      </c>
      <c r="CO9" s="258">
        <f t="shared" si="33"/>
        <v>5669.75</v>
      </c>
      <c r="CP9" s="258">
        <f t="shared" si="12"/>
        <v>5669.75</v>
      </c>
      <c r="CQ9" s="258">
        <f t="shared" si="12"/>
        <v>5669.75</v>
      </c>
      <c r="CR9" s="258">
        <f t="shared" si="12"/>
        <v>5669.75</v>
      </c>
      <c r="CS9" s="206">
        <v>8.0000000000000002E-3</v>
      </c>
      <c r="CT9" s="206">
        <v>8.0000000000000002E-3</v>
      </c>
      <c r="CU9" s="206">
        <v>8.0000000000000002E-3</v>
      </c>
      <c r="CV9" s="206">
        <v>8.0000000000000002E-3</v>
      </c>
      <c r="CW9" s="206">
        <v>8.0000000000000002E-3</v>
      </c>
      <c r="CX9" s="206">
        <v>8.0000000000000002E-3</v>
      </c>
      <c r="CY9" s="206">
        <v>8.0000000000000002E-3</v>
      </c>
      <c r="CZ9" s="259">
        <f t="shared" si="13"/>
        <v>8.0000000000000002E-3</v>
      </c>
      <c r="DA9" s="259">
        <f t="shared" si="14"/>
        <v>8.0000000000000002E-3</v>
      </c>
      <c r="DB9" s="259">
        <f t="shared" si="15"/>
        <v>8.0000000000000002E-3</v>
      </c>
      <c r="DC9" s="259">
        <f t="shared" si="16"/>
        <v>8.0000000000000002E-3</v>
      </c>
      <c r="DD9" s="259">
        <f t="shared" si="17"/>
        <v>8.0000000000000002E-3</v>
      </c>
      <c r="DE9" s="259">
        <f t="shared" si="18"/>
        <v>8.0000000000000002E-3</v>
      </c>
      <c r="DF9" s="256">
        <f t="shared" si="34"/>
        <v>159.99815999999998</v>
      </c>
      <c r="DG9" s="256">
        <f t="shared" si="35"/>
        <v>119.99861999999997</v>
      </c>
      <c r="DH9" s="256">
        <f t="shared" si="36"/>
        <v>164.79810479999998</v>
      </c>
      <c r="DI9" s="256">
        <f t="shared" si="37"/>
        <v>169.74204794400001</v>
      </c>
      <c r="DJ9" s="256">
        <f t="shared" si="38"/>
        <v>174.83430938231999</v>
      </c>
      <c r="DK9" s="256">
        <f t="shared" si="39"/>
        <v>180.0793386637896</v>
      </c>
      <c r="DL9" s="206">
        <f t="shared" si="40"/>
        <v>181</v>
      </c>
      <c r="DM9" s="257">
        <f t="shared" si="20"/>
        <v>181</v>
      </c>
      <c r="DN9" s="258">
        <f t="shared" si="41"/>
        <v>45.25</v>
      </c>
      <c r="DO9" s="258">
        <f t="shared" si="21"/>
        <v>45.25</v>
      </c>
      <c r="DP9" s="258">
        <f t="shared" si="21"/>
        <v>45.25</v>
      </c>
      <c r="DQ9" s="258">
        <f t="shared" si="21"/>
        <v>45.25</v>
      </c>
    </row>
    <row r="10" spans="1:121" x14ac:dyDescent="0.3">
      <c r="A10" s="750"/>
      <c r="B10" s="205" t="s">
        <v>139</v>
      </c>
      <c r="C10" s="206">
        <v>17</v>
      </c>
      <c r="D10" s="255">
        <v>3.49E-2</v>
      </c>
      <c r="E10" s="256">
        <f>($D$4*'Tab H'!K9)</f>
        <v>9061.1916999999994</v>
      </c>
      <c r="F10" s="256">
        <f>($D$4*'Tab H'!L9)</f>
        <v>9061.1916999999994</v>
      </c>
      <c r="G10" s="256">
        <f>($D$4*'Tab H'!M9)</f>
        <v>9333.0274509999999</v>
      </c>
      <c r="H10" s="256">
        <f>($D$4*'Tab H'!N9)</f>
        <v>9613.0182745300008</v>
      </c>
      <c r="I10" s="256">
        <f>($D$4*'Tab H'!O9)</f>
        <v>9901.4088227658995</v>
      </c>
      <c r="J10" s="256">
        <f>($D$4*'Tab H'!P9)</f>
        <v>10198.451087448877</v>
      </c>
      <c r="K10" s="206">
        <f>ROUND($D$4*'Tab H'!Q9,0)</f>
        <v>10583</v>
      </c>
      <c r="L10" s="257">
        <f>ROUND($D$4*'Tab H'!R9,0)</f>
        <v>10583</v>
      </c>
      <c r="M10" s="258">
        <f t="shared" si="0"/>
        <v>2645.75</v>
      </c>
      <c r="N10" s="258">
        <f t="shared" si="0"/>
        <v>2645.75</v>
      </c>
      <c r="O10" s="258">
        <f t="shared" si="0"/>
        <v>2645.75</v>
      </c>
      <c r="P10" s="258">
        <f t="shared" si="0"/>
        <v>2645.75</v>
      </c>
      <c r="Q10" s="255">
        <v>3.49E-2</v>
      </c>
      <c r="Y10" s="259">
        <v>0.189</v>
      </c>
      <c r="Z10" s="256">
        <f>(0.18*'Tab H'!K9)</f>
        <v>46733.939999999995</v>
      </c>
      <c r="AA10" s="256">
        <f>(0.18*'Tab H'!L9)</f>
        <v>46733.939999999995</v>
      </c>
      <c r="AB10" s="256">
        <f>(0.18*'Tab H'!M9)</f>
        <v>48135.958199999994</v>
      </c>
      <c r="AC10" s="256">
        <f>(0.18*'Tab H'!N9)</f>
        <v>49580.036946</v>
      </c>
      <c r="AD10" s="256">
        <f>(0.18*'Tab H'!O9)</f>
        <v>51067.43805438</v>
      </c>
      <c r="AE10" s="256">
        <f>(0.18*'Tab H'!P9)</f>
        <v>52599.461196011398</v>
      </c>
      <c r="AF10" s="206">
        <f>ROUND($Y$4*'Tab H'!Q9,0)</f>
        <v>57312</v>
      </c>
      <c r="AG10" s="257">
        <f>ROUND($Y$4*'Tab H'!R9,0)</f>
        <v>57312</v>
      </c>
      <c r="AH10" s="258">
        <f t="shared" si="22"/>
        <v>14328</v>
      </c>
      <c r="AI10" s="258">
        <f t="shared" si="1"/>
        <v>14328</v>
      </c>
      <c r="AJ10" s="258">
        <f t="shared" si="1"/>
        <v>14328</v>
      </c>
      <c r="AK10" s="258">
        <f t="shared" si="1"/>
        <v>14328</v>
      </c>
      <c r="AL10" s="206">
        <v>0.15</v>
      </c>
      <c r="AM10" s="206">
        <v>0.15</v>
      </c>
      <c r="AN10" s="206">
        <v>0.15</v>
      </c>
      <c r="AO10" s="206">
        <v>0.15</v>
      </c>
      <c r="AP10" s="206">
        <v>0.15</v>
      </c>
      <c r="AQ10" s="206">
        <v>0.15</v>
      </c>
      <c r="AR10" s="206">
        <v>0.15</v>
      </c>
      <c r="AS10" s="260">
        <f t="shared" si="2"/>
        <v>0.15</v>
      </c>
      <c r="AT10" s="260">
        <f t="shared" si="3"/>
        <v>0.15</v>
      </c>
      <c r="AU10" s="260">
        <f t="shared" si="4"/>
        <v>0.15</v>
      </c>
      <c r="AV10" s="260">
        <f t="shared" si="5"/>
        <v>0.15</v>
      </c>
      <c r="AW10" s="260">
        <f t="shared" si="6"/>
        <v>0.15</v>
      </c>
      <c r="AX10" s="260">
        <f t="shared" si="7"/>
        <v>0.15</v>
      </c>
      <c r="AY10" s="256">
        <f t="shared" si="23"/>
        <v>7010.0909999999994</v>
      </c>
      <c r="AZ10" s="256">
        <f t="shared" si="24"/>
        <v>7010.0909999999994</v>
      </c>
      <c r="BA10" s="256">
        <f t="shared" si="25"/>
        <v>7220.3937299999989</v>
      </c>
      <c r="BB10" s="256">
        <f t="shared" si="26"/>
        <v>7437.0055419</v>
      </c>
      <c r="BC10" s="256">
        <f t="shared" si="27"/>
        <v>7660.115708157</v>
      </c>
      <c r="BD10" s="256">
        <f t="shared" si="28"/>
        <v>7889.9191794017097</v>
      </c>
      <c r="BE10" s="206">
        <f t="shared" si="29"/>
        <v>8597</v>
      </c>
      <c r="BF10" s="257">
        <f t="shared" si="9"/>
        <v>8597</v>
      </c>
      <c r="BG10" s="258">
        <f t="shared" si="30"/>
        <v>2149.25</v>
      </c>
      <c r="BH10" s="258">
        <f t="shared" si="10"/>
        <v>2149.25</v>
      </c>
      <c r="BI10" s="258">
        <f t="shared" si="10"/>
        <v>2149.25</v>
      </c>
      <c r="BJ10" s="258">
        <f t="shared" si="10"/>
        <v>2149.25</v>
      </c>
      <c r="BK10" s="260">
        <v>0.04</v>
      </c>
      <c r="BL10" s="256">
        <f>($BK$4*'Tab H'!K9)</f>
        <v>10385.32</v>
      </c>
      <c r="BM10" s="256">
        <f>($BK$4*'Tab H'!L9)</f>
        <v>10385.32</v>
      </c>
      <c r="BN10" s="256">
        <f>($BK$4*'Tab H'!M9)</f>
        <v>10696.8796</v>
      </c>
      <c r="BO10" s="256">
        <f>($BK$4*'Tab H'!N9)</f>
        <v>11017.785988000001</v>
      </c>
      <c r="BP10" s="256">
        <f>($BK$4*'Tab H'!O9)</f>
        <v>11348.319567640001</v>
      </c>
      <c r="BQ10" s="256">
        <f>($BK$4*'Tab H'!P9)</f>
        <v>11688.7691546692</v>
      </c>
      <c r="BR10" s="256">
        <f t="shared" si="31"/>
        <v>12130</v>
      </c>
      <c r="BS10" s="257">
        <f>ROUND($BK$4*'Tab H'!R9,0)</f>
        <v>12130</v>
      </c>
      <c r="BT10" s="258">
        <f t="shared" si="32"/>
        <v>3032.5</v>
      </c>
      <c r="BU10" s="258">
        <f t="shared" si="11"/>
        <v>3032.5</v>
      </c>
      <c r="BV10" s="258">
        <f t="shared" si="11"/>
        <v>3032.5</v>
      </c>
      <c r="BW10" s="258">
        <f t="shared" si="11"/>
        <v>3032.5</v>
      </c>
      <c r="BX10" s="255">
        <v>0.04</v>
      </c>
      <c r="CF10" s="260">
        <v>0.21</v>
      </c>
      <c r="CG10" s="256">
        <f>($CF$4*'Tab H'!K9)</f>
        <v>54522.93</v>
      </c>
      <c r="CH10" s="256">
        <f>($CF$4*'Tab H'!L9)</f>
        <v>54522.93</v>
      </c>
      <c r="CI10" s="256">
        <f>($CF$4*'Tab H'!M9)</f>
        <v>56158.617899999997</v>
      </c>
      <c r="CJ10" s="256">
        <f>($CF$4*'Tab H'!N9)</f>
        <v>57843.376436999999</v>
      </c>
      <c r="CK10" s="256">
        <f>($CF$4*'Tab H'!O9)</f>
        <v>59578.677730110001</v>
      </c>
      <c r="CL10" s="256">
        <f>($CF$4*'Tab H'!P9)</f>
        <v>61366.0380620133</v>
      </c>
      <c r="CM10" s="206">
        <f>ROUND($CF$4*'Tab H'!Q9,0)</f>
        <v>63680</v>
      </c>
      <c r="CN10" s="257">
        <f>ROUND($CF$4*'Tab H'!R9,0)</f>
        <v>63680</v>
      </c>
      <c r="CO10" s="258">
        <f t="shared" si="33"/>
        <v>15920</v>
      </c>
      <c r="CP10" s="258">
        <f t="shared" si="12"/>
        <v>15920</v>
      </c>
      <c r="CQ10" s="258">
        <f t="shared" si="12"/>
        <v>15920</v>
      </c>
      <c r="CR10" s="258">
        <f t="shared" si="12"/>
        <v>15920</v>
      </c>
      <c r="CS10" s="206">
        <v>8.0000000000000002E-3</v>
      </c>
      <c r="CT10" s="206">
        <v>8.0000000000000002E-3</v>
      </c>
      <c r="CU10" s="206">
        <v>8.0000000000000002E-3</v>
      </c>
      <c r="CV10" s="206">
        <v>8.0000000000000002E-3</v>
      </c>
      <c r="CW10" s="206">
        <v>8.0000000000000002E-3</v>
      </c>
      <c r="CX10" s="206">
        <v>8.0000000000000002E-3</v>
      </c>
      <c r="CY10" s="206">
        <v>8.0000000000000002E-3</v>
      </c>
      <c r="CZ10" s="259">
        <f t="shared" si="13"/>
        <v>8.0000000000000002E-3</v>
      </c>
      <c r="DA10" s="259">
        <f t="shared" si="14"/>
        <v>8.0000000000000002E-3</v>
      </c>
      <c r="DB10" s="259">
        <f t="shared" si="15"/>
        <v>8.0000000000000002E-3</v>
      </c>
      <c r="DC10" s="259">
        <f t="shared" si="16"/>
        <v>8.0000000000000002E-3</v>
      </c>
      <c r="DD10" s="259">
        <f t="shared" si="17"/>
        <v>8.0000000000000002E-3</v>
      </c>
      <c r="DE10" s="259">
        <f t="shared" si="18"/>
        <v>8.0000000000000002E-3</v>
      </c>
      <c r="DF10" s="256">
        <f t="shared" si="34"/>
        <v>436.18344000000002</v>
      </c>
      <c r="DG10" s="256">
        <f t="shared" si="35"/>
        <v>436.18344000000002</v>
      </c>
      <c r="DH10" s="256">
        <f t="shared" si="36"/>
        <v>449.26894319999997</v>
      </c>
      <c r="DI10" s="256">
        <f t="shared" si="37"/>
        <v>462.74701149600003</v>
      </c>
      <c r="DJ10" s="256">
        <f t="shared" si="38"/>
        <v>476.62942184088001</v>
      </c>
      <c r="DK10" s="256">
        <f t="shared" si="39"/>
        <v>490.92830449610642</v>
      </c>
      <c r="DL10" s="206">
        <f t="shared" si="40"/>
        <v>509</v>
      </c>
      <c r="DM10" s="257">
        <f t="shared" si="20"/>
        <v>509</v>
      </c>
      <c r="DN10" s="258">
        <f t="shared" si="41"/>
        <v>127.25</v>
      </c>
      <c r="DO10" s="258">
        <f t="shared" si="21"/>
        <v>127.25</v>
      </c>
      <c r="DP10" s="258">
        <f t="shared" si="21"/>
        <v>127.25</v>
      </c>
      <c r="DQ10" s="258">
        <f t="shared" si="21"/>
        <v>127.25</v>
      </c>
    </row>
    <row r="11" spans="1:121" x14ac:dyDescent="0.3">
      <c r="A11" s="750"/>
      <c r="B11" s="205" t="s">
        <v>140</v>
      </c>
      <c r="C11" s="206">
        <v>11</v>
      </c>
      <c r="D11" s="255">
        <v>3.49E-2</v>
      </c>
      <c r="E11" s="256">
        <f>($D$4*'Tab H'!K10)</f>
        <v>3803.5066999999999</v>
      </c>
      <c r="F11" s="256">
        <f>($D$4*'Tab H'!L10)</f>
        <v>2852.6300249999999</v>
      </c>
      <c r="G11" s="256">
        <f>($D$4*'Tab H'!M10)</f>
        <v>3917.6119010000002</v>
      </c>
      <c r="H11" s="256">
        <f>($D$4*'Tab H'!N10)</f>
        <v>4035.14025803</v>
      </c>
      <c r="I11" s="256">
        <f>($D$4*'Tab H'!O10)</f>
        <v>4156.1944657709</v>
      </c>
      <c r="J11" s="256">
        <f>($D$4*'Tab H'!P10)</f>
        <v>4280.8802997440271</v>
      </c>
      <c r="K11" s="206">
        <f>ROUND($D$4*'Tab H'!Q10,0)</f>
        <v>4313</v>
      </c>
      <c r="L11" s="257">
        <f>ROUND($D$4*'Tab H'!R10,0)</f>
        <v>4313</v>
      </c>
      <c r="M11" s="258">
        <f t="shared" si="0"/>
        <v>1078.25</v>
      </c>
      <c r="N11" s="258">
        <f t="shared" si="0"/>
        <v>1078.25</v>
      </c>
      <c r="O11" s="258">
        <f t="shared" si="0"/>
        <v>1078.25</v>
      </c>
      <c r="P11" s="258">
        <f t="shared" si="0"/>
        <v>1078.25</v>
      </c>
      <c r="Q11" s="255">
        <v>3.49E-2</v>
      </c>
      <c r="Y11" s="259">
        <v>0.189</v>
      </c>
      <c r="Z11" s="256">
        <f>(0.18*'Tab H'!K10)</f>
        <v>19616.939999999999</v>
      </c>
      <c r="AA11" s="256">
        <f>(0.18*'Tab H'!L10)</f>
        <v>14712.705</v>
      </c>
      <c r="AB11" s="256">
        <f>(0.18*'Tab H'!M10)</f>
        <v>20205.448199999999</v>
      </c>
      <c r="AC11" s="256">
        <f>(0.18*'Tab H'!N10)</f>
        <v>20811.611646000001</v>
      </c>
      <c r="AD11" s="256">
        <f>(0.18*'Tab H'!O10)</f>
        <v>21435.959995379999</v>
      </c>
      <c r="AE11" s="256">
        <f>(0.18*'Tab H'!P10)</f>
        <v>22079.038795241402</v>
      </c>
      <c r="AF11" s="206">
        <f>ROUND($Y$4*'Tab H'!Q10,0)</f>
        <v>23357</v>
      </c>
      <c r="AG11" s="257">
        <f>ROUND($Y$4*'Tab H'!R10,0)</f>
        <v>23357</v>
      </c>
      <c r="AH11" s="258">
        <f t="shared" si="22"/>
        <v>5839.25</v>
      </c>
      <c r="AI11" s="258">
        <f t="shared" si="1"/>
        <v>5839.25</v>
      </c>
      <c r="AJ11" s="258">
        <f t="shared" si="1"/>
        <v>5839.25</v>
      </c>
      <c r="AK11" s="258">
        <f t="shared" si="1"/>
        <v>5839.25</v>
      </c>
      <c r="AL11" s="206">
        <v>0.15</v>
      </c>
      <c r="AM11" s="206">
        <v>0.15</v>
      </c>
      <c r="AN11" s="206">
        <v>0.15</v>
      </c>
      <c r="AO11" s="206">
        <v>0.15</v>
      </c>
      <c r="AP11" s="206">
        <v>0.15</v>
      </c>
      <c r="AQ11" s="206">
        <v>0.15</v>
      </c>
      <c r="AR11" s="206">
        <v>0.15</v>
      </c>
      <c r="AS11" s="260">
        <f t="shared" si="2"/>
        <v>0.15</v>
      </c>
      <c r="AT11" s="260">
        <f t="shared" si="3"/>
        <v>0.15</v>
      </c>
      <c r="AU11" s="260">
        <f t="shared" si="4"/>
        <v>0.15</v>
      </c>
      <c r="AV11" s="260">
        <f t="shared" si="5"/>
        <v>0.15</v>
      </c>
      <c r="AW11" s="260">
        <f t="shared" si="6"/>
        <v>0.15</v>
      </c>
      <c r="AX11" s="260">
        <f t="shared" si="7"/>
        <v>0.15</v>
      </c>
      <c r="AY11" s="256">
        <f t="shared" si="23"/>
        <v>2942.5409999999997</v>
      </c>
      <c r="AZ11" s="256">
        <f t="shared" si="24"/>
        <v>2206.9057499999999</v>
      </c>
      <c r="BA11" s="256">
        <f t="shared" si="25"/>
        <v>3030.8172299999997</v>
      </c>
      <c r="BB11" s="256">
        <f t="shared" si="26"/>
        <v>3121.7417469000002</v>
      </c>
      <c r="BC11" s="256">
        <f t="shared" si="27"/>
        <v>3215.3939993069998</v>
      </c>
      <c r="BD11" s="256">
        <f t="shared" si="28"/>
        <v>3311.8558192862101</v>
      </c>
      <c r="BE11" s="206">
        <f t="shared" si="29"/>
        <v>3504</v>
      </c>
      <c r="BF11" s="257">
        <f t="shared" si="9"/>
        <v>3504</v>
      </c>
      <c r="BG11" s="258">
        <f t="shared" si="30"/>
        <v>876</v>
      </c>
      <c r="BH11" s="258">
        <f t="shared" si="10"/>
        <v>876</v>
      </c>
      <c r="BI11" s="258">
        <f t="shared" si="10"/>
        <v>876</v>
      </c>
      <c r="BJ11" s="258">
        <f t="shared" si="10"/>
        <v>876</v>
      </c>
      <c r="BK11" s="260">
        <v>0.04</v>
      </c>
      <c r="BL11" s="256">
        <f>($BK$4*'Tab H'!K10)</f>
        <v>4359.32</v>
      </c>
      <c r="BM11" s="256">
        <f>($BK$4*'Tab H'!L10)</f>
        <v>3269.4900000000002</v>
      </c>
      <c r="BN11" s="256">
        <f>($BK$4*'Tab H'!M10)</f>
        <v>4490.0996000000005</v>
      </c>
      <c r="BO11" s="256">
        <f>($BK$4*'Tab H'!N10)</f>
        <v>4624.8025880000005</v>
      </c>
      <c r="BP11" s="256">
        <f>($BK$4*'Tab H'!O10)</f>
        <v>4763.5466656400004</v>
      </c>
      <c r="BQ11" s="256">
        <f>($BK$4*'Tab H'!P10)</f>
        <v>4906.4530656092002</v>
      </c>
      <c r="BR11" s="256">
        <f t="shared" si="31"/>
        <v>4943</v>
      </c>
      <c r="BS11" s="257">
        <f>ROUND($BK$4*'Tab H'!R10,0)</f>
        <v>4943</v>
      </c>
      <c r="BT11" s="258">
        <f t="shared" si="32"/>
        <v>1235.75</v>
      </c>
      <c r="BU11" s="258">
        <f t="shared" si="11"/>
        <v>1235.75</v>
      </c>
      <c r="BV11" s="258">
        <f t="shared" si="11"/>
        <v>1235.75</v>
      </c>
      <c r="BW11" s="258">
        <f t="shared" si="11"/>
        <v>1235.75</v>
      </c>
      <c r="BX11" s="255">
        <v>0.04</v>
      </c>
      <c r="CF11" s="260">
        <v>0.21</v>
      </c>
      <c r="CG11" s="256">
        <f>($CF$4*'Tab H'!K10)</f>
        <v>22886.43</v>
      </c>
      <c r="CH11" s="256">
        <f>($CF$4*'Tab H'!L10)</f>
        <v>17164.822499999998</v>
      </c>
      <c r="CI11" s="256">
        <f>($CF$4*'Tab H'!M10)</f>
        <v>23573.0229</v>
      </c>
      <c r="CJ11" s="256">
        <f>($CF$4*'Tab H'!N10)</f>
        <v>24280.213586999998</v>
      </c>
      <c r="CK11" s="256">
        <f>($CF$4*'Tab H'!O10)</f>
        <v>25008.619994609999</v>
      </c>
      <c r="CL11" s="256">
        <f>($CF$4*'Tab H'!P10)</f>
        <v>25758.878594448299</v>
      </c>
      <c r="CM11" s="206">
        <f>ROUND($CF$4*'Tab H'!Q10,0)</f>
        <v>25952</v>
      </c>
      <c r="CN11" s="257">
        <f>ROUND($CF$4*'Tab H'!R10,0)</f>
        <v>25952</v>
      </c>
      <c r="CO11" s="258">
        <f t="shared" si="33"/>
        <v>6488</v>
      </c>
      <c r="CP11" s="258">
        <f t="shared" si="12"/>
        <v>6488</v>
      </c>
      <c r="CQ11" s="258">
        <f t="shared" si="12"/>
        <v>6488</v>
      </c>
      <c r="CR11" s="258">
        <f t="shared" si="12"/>
        <v>6488</v>
      </c>
      <c r="CS11" s="206">
        <v>8.0000000000000002E-3</v>
      </c>
      <c r="CT11" s="206">
        <v>8.0000000000000002E-3</v>
      </c>
      <c r="CU11" s="206">
        <v>8.0000000000000002E-3</v>
      </c>
      <c r="CV11" s="206">
        <v>8.0000000000000002E-3</v>
      </c>
      <c r="CW11" s="206">
        <v>8.0000000000000002E-3</v>
      </c>
      <c r="CX11" s="206">
        <v>8.0000000000000002E-3</v>
      </c>
      <c r="CY11" s="206">
        <v>8.0000000000000002E-3</v>
      </c>
      <c r="CZ11" s="259">
        <f t="shared" si="13"/>
        <v>8.0000000000000002E-3</v>
      </c>
      <c r="DA11" s="259">
        <f t="shared" si="14"/>
        <v>8.0000000000000002E-3</v>
      </c>
      <c r="DB11" s="259">
        <f t="shared" si="15"/>
        <v>8.0000000000000002E-3</v>
      </c>
      <c r="DC11" s="259">
        <f t="shared" si="16"/>
        <v>8.0000000000000002E-3</v>
      </c>
      <c r="DD11" s="259">
        <f t="shared" si="17"/>
        <v>8.0000000000000002E-3</v>
      </c>
      <c r="DE11" s="259">
        <f t="shared" si="18"/>
        <v>8.0000000000000002E-3</v>
      </c>
      <c r="DF11" s="256">
        <f t="shared" si="34"/>
        <v>183.09144000000001</v>
      </c>
      <c r="DG11" s="256">
        <f t="shared" si="35"/>
        <v>137.31858</v>
      </c>
      <c r="DH11" s="256">
        <f t="shared" si="36"/>
        <v>188.58418320000001</v>
      </c>
      <c r="DI11" s="256">
        <f t="shared" si="37"/>
        <v>194.24170869599999</v>
      </c>
      <c r="DJ11" s="256">
        <f t="shared" si="38"/>
        <v>200.06895995688001</v>
      </c>
      <c r="DK11" s="256">
        <f t="shared" si="39"/>
        <v>206.07102875558638</v>
      </c>
      <c r="DL11" s="206">
        <f t="shared" si="40"/>
        <v>208</v>
      </c>
      <c r="DM11" s="257">
        <f t="shared" si="20"/>
        <v>208</v>
      </c>
      <c r="DN11" s="258">
        <f t="shared" si="41"/>
        <v>52</v>
      </c>
      <c r="DO11" s="258">
        <f t="shared" si="21"/>
        <v>52</v>
      </c>
      <c r="DP11" s="258">
        <f t="shared" si="21"/>
        <v>52</v>
      </c>
      <c r="DQ11" s="258">
        <f t="shared" si="21"/>
        <v>52</v>
      </c>
    </row>
    <row r="12" spans="1:121" x14ac:dyDescent="0.3">
      <c r="A12" s="750"/>
      <c r="B12" s="205" t="s">
        <v>141</v>
      </c>
      <c r="C12" s="206">
        <v>15</v>
      </c>
      <c r="D12" s="255">
        <v>3.49E-2</v>
      </c>
      <c r="E12" s="256">
        <f>($D$4*'Tab H'!K11)</f>
        <v>4425.9481999999998</v>
      </c>
      <c r="F12" s="256">
        <f>($D$4*'Tab H'!L11)</f>
        <v>4425.9481999999998</v>
      </c>
      <c r="G12" s="256">
        <f>($D$4*'Tab H'!M11)</f>
        <v>4558.7266460000001</v>
      </c>
      <c r="H12" s="256">
        <f>($D$4*'Tab H'!N11)</f>
        <v>4695.4884453800005</v>
      </c>
      <c r="I12" s="256">
        <f>($D$4*'Tab H'!O11)</f>
        <v>4836.3530987414015</v>
      </c>
      <c r="J12" s="256">
        <f>($D$4*'Tab H'!P11)</f>
        <v>4981.4436917036437</v>
      </c>
      <c r="K12" s="206">
        <f>ROUND($D$4*'Tab H'!Q11,0)</f>
        <v>5169</v>
      </c>
      <c r="L12" s="257">
        <f>ROUND($D$4*'Tab H'!R11,0)</f>
        <v>5169</v>
      </c>
      <c r="M12" s="258">
        <f t="shared" si="0"/>
        <v>1292.25</v>
      </c>
      <c r="N12" s="258">
        <f t="shared" si="0"/>
        <v>1292.25</v>
      </c>
      <c r="O12" s="258">
        <f t="shared" si="0"/>
        <v>1292.25</v>
      </c>
      <c r="P12" s="258">
        <f t="shared" si="0"/>
        <v>1292.25</v>
      </c>
      <c r="Q12" s="255">
        <v>3.49E-2</v>
      </c>
      <c r="Y12" s="259">
        <v>0.189</v>
      </c>
      <c r="Z12" s="256">
        <f>(0.18*'Tab H'!K11)</f>
        <v>22827.239999999998</v>
      </c>
      <c r="AA12" s="256">
        <f>(0.18*'Tab H'!L11)</f>
        <v>22827.239999999998</v>
      </c>
      <c r="AB12" s="256">
        <f>(0.18*'Tab H'!M11)</f>
        <v>23512.057199999999</v>
      </c>
      <c r="AC12" s="256">
        <f>(0.18*'Tab H'!N11)</f>
        <v>24217.418916000002</v>
      </c>
      <c r="AD12" s="256">
        <f>(0.18*'Tab H'!O11)</f>
        <v>24943.941483480005</v>
      </c>
      <c r="AE12" s="256">
        <f>(0.18*'Tab H'!P11)</f>
        <v>25692.259727984405</v>
      </c>
      <c r="AF12" s="206">
        <f>ROUND($Y$4*'Tab H'!Q11,0)</f>
        <v>27994</v>
      </c>
      <c r="AG12" s="257">
        <f>ROUND($Y$4*'Tab H'!R11,0)</f>
        <v>27994</v>
      </c>
      <c r="AH12" s="258">
        <f t="shared" si="22"/>
        <v>6998.5</v>
      </c>
      <c r="AI12" s="258">
        <f t="shared" si="1"/>
        <v>6998.5</v>
      </c>
      <c r="AJ12" s="258">
        <f t="shared" si="1"/>
        <v>6998.5</v>
      </c>
      <c r="AK12" s="258">
        <f t="shared" si="1"/>
        <v>6998.5</v>
      </c>
      <c r="AL12" s="206">
        <v>0.15</v>
      </c>
      <c r="AM12" s="206">
        <v>0.15</v>
      </c>
      <c r="AN12" s="206">
        <v>0.15</v>
      </c>
      <c r="AO12" s="206">
        <v>0.15</v>
      </c>
      <c r="AP12" s="206">
        <v>0.15</v>
      </c>
      <c r="AQ12" s="206">
        <v>0.15</v>
      </c>
      <c r="AR12" s="206">
        <v>0.15</v>
      </c>
      <c r="AS12" s="260">
        <f t="shared" si="2"/>
        <v>0.15</v>
      </c>
      <c r="AT12" s="260">
        <f t="shared" si="3"/>
        <v>0.15</v>
      </c>
      <c r="AU12" s="260">
        <f t="shared" si="4"/>
        <v>0.15</v>
      </c>
      <c r="AV12" s="260">
        <f t="shared" si="5"/>
        <v>0.15</v>
      </c>
      <c r="AW12" s="260">
        <f t="shared" si="6"/>
        <v>0.15</v>
      </c>
      <c r="AX12" s="260">
        <f t="shared" si="7"/>
        <v>0.15</v>
      </c>
      <c r="AY12" s="256">
        <f t="shared" si="23"/>
        <v>3424.0859999999998</v>
      </c>
      <c r="AZ12" s="256">
        <f t="shared" si="24"/>
        <v>3424.0859999999998</v>
      </c>
      <c r="BA12" s="256">
        <f t="shared" si="25"/>
        <v>3526.8085799999999</v>
      </c>
      <c r="BB12" s="256">
        <f t="shared" si="26"/>
        <v>3632.6128374000004</v>
      </c>
      <c r="BC12" s="256">
        <f t="shared" si="27"/>
        <v>3741.5912225220004</v>
      </c>
      <c r="BD12" s="256">
        <f t="shared" si="28"/>
        <v>3853.8389591976606</v>
      </c>
      <c r="BE12" s="206">
        <f t="shared" si="29"/>
        <v>4199</v>
      </c>
      <c r="BF12" s="257">
        <f t="shared" si="9"/>
        <v>4199</v>
      </c>
      <c r="BG12" s="258">
        <f t="shared" si="30"/>
        <v>1049.75</v>
      </c>
      <c r="BH12" s="258">
        <f t="shared" si="10"/>
        <v>1049.75</v>
      </c>
      <c r="BI12" s="258">
        <f t="shared" si="10"/>
        <v>1049.75</v>
      </c>
      <c r="BJ12" s="258">
        <f t="shared" si="10"/>
        <v>1049.75</v>
      </c>
      <c r="BK12" s="260">
        <v>0.04</v>
      </c>
      <c r="BL12" s="256">
        <f>($BK$4*'Tab H'!K11)</f>
        <v>5072.72</v>
      </c>
      <c r="BM12" s="256">
        <f>($BK$4*'Tab H'!L11)</f>
        <v>5072.72</v>
      </c>
      <c r="BN12" s="256">
        <f>($BK$4*'Tab H'!M11)</f>
        <v>5224.9016000000001</v>
      </c>
      <c r="BO12" s="256">
        <f>($BK$4*'Tab H'!N11)</f>
        <v>5381.6486480000012</v>
      </c>
      <c r="BP12" s="256">
        <f>($BK$4*'Tab H'!O11)</f>
        <v>5543.0981074400015</v>
      </c>
      <c r="BQ12" s="256">
        <f>($BK$4*'Tab H'!P11)</f>
        <v>5709.3910506632019</v>
      </c>
      <c r="BR12" s="256">
        <f t="shared" si="31"/>
        <v>5925</v>
      </c>
      <c r="BS12" s="257">
        <f>ROUND($BK$4*'Tab H'!R11,0)</f>
        <v>5925</v>
      </c>
      <c r="BT12" s="258">
        <f t="shared" si="32"/>
        <v>1481.25</v>
      </c>
      <c r="BU12" s="258">
        <f t="shared" si="11"/>
        <v>1481.25</v>
      </c>
      <c r="BV12" s="258">
        <f t="shared" si="11"/>
        <v>1481.25</v>
      </c>
      <c r="BW12" s="258">
        <f t="shared" si="11"/>
        <v>1481.25</v>
      </c>
      <c r="BX12" s="255">
        <v>0.04</v>
      </c>
      <c r="CF12" s="260">
        <v>0.21</v>
      </c>
      <c r="CG12" s="256">
        <f>($CF$4*'Tab H'!K11)</f>
        <v>26631.78</v>
      </c>
      <c r="CH12" s="256">
        <f>($CF$4*'Tab H'!L11)</f>
        <v>26631.78</v>
      </c>
      <c r="CI12" s="256">
        <f>($CF$4*'Tab H'!M11)</f>
        <v>27430.733400000001</v>
      </c>
      <c r="CJ12" s="256">
        <f>($CF$4*'Tab H'!N11)</f>
        <v>28253.655402000004</v>
      </c>
      <c r="CK12" s="256">
        <f>($CF$4*'Tab H'!O11)</f>
        <v>29101.265064060008</v>
      </c>
      <c r="CL12" s="256">
        <f>($CF$4*'Tab H'!P11)</f>
        <v>29974.303015981808</v>
      </c>
      <c r="CM12" s="206">
        <f>ROUND($CF$4*'Tab H'!Q11,0)</f>
        <v>31104</v>
      </c>
      <c r="CN12" s="257">
        <f>ROUND($CF$4*'Tab H'!R11,0)</f>
        <v>31104</v>
      </c>
      <c r="CO12" s="258">
        <f t="shared" si="33"/>
        <v>7776</v>
      </c>
      <c r="CP12" s="258">
        <f t="shared" si="12"/>
        <v>7776</v>
      </c>
      <c r="CQ12" s="258">
        <f t="shared" si="12"/>
        <v>7776</v>
      </c>
      <c r="CR12" s="258">
        <f t="shared" si="12"/>
        <v>7776</v>
      </c>
      <c r="CS12" s="206">
        <v>8.0000000000000002E-3</v>
      </c>
      <c r="CT12" s="206">
        <v>8.0000000000000002E-3</v>
      </c>
      <c r="CU12" s="206">
        <v>8.0000000000000002E-3</v>
      </c>
      <c r="CV12" s="206">
        <v>8.0000000000000002E-3</v>
      </c>
      <c r="CW12" s="206">
        <v>8.0000000000000002E-3</v>
      </c>
      <c r="CX12" s="206">
        <v>8.0000000000000002E-3</v>
      </c>
      <c r="CY12" s="206">
        <v>8.0000000000000002E-3</v>
      </c>
      <c r="CZ12" s="259">
        <f t="shared" si="13"/>
        <v>8.0000000000000002E-3</v>
      </c>
      <c r="DA12" s="259">
        <f t="shared" si="14"/>
        <v>8.0000000000000002E-3</v>
      </c>
      <c r="DB12" s="259">
        <f t="shared" si="15"/>
        <v>8.0000000000000002E-3</v>
      </c>
      <c r="DC12" s="259">
        <f t="shared" si="16"/>
        <v>8.0000000000000002E-3</v>
      </c>
      <c r="DD12" s="259">
        <f t="shared" si="17"/>
        <v>8.0000000000000002E-3</v>
      </c>
      <c r="DE12" s="259">
        <f t="shared" si="18"/>
        <v>8.0000000000000002E-3</v>
      </c>
      <c r="DF12" s="256">
        <f t="shared" si="34"/>
        <v>213.05423999999999</v>
      </c>
      <c r="DG12" s="256">
        <f t="shared" si="35"/>
        <v>213.05423999999999</v>
      </c>
      <c r="DH12" s="256">
        <f t="shared" si="36"/>
        <v>219.44586720000001</v>
      </c>
      <c r="DI12" s="256">
        <f t="shared" si="37"/>
        <v>226.02924321600003</v>
      </c>
      <c r="DJ12" s="256">
        <f t="shared" si="38"/>
        <v>232.81012051248007</v>
      </c>
      <c r="DK12" s="256">
        <f t="shared" si="39"/>
        <v>239.79442412785448</v>
      </c>
      <c r="DL12" s="206">
        <f t="shared" si="40"/>
        <v>249</v>
      </c>
      <c r="DM12" s="257">
        <f t="shared" si="20"/>
        <v>249</v>
      </c>
      <c r="DN12" s="258">
        <f t="shared" si="41"/>
        <v>62.25</v>
      </c>
      <c r="DO12" s="258">
        <f t="shared" si="21"/>
        <v>62.25</v>
      </c>
      <c r="DP12" s="258">
        <f t="shared" si="21"/>
        <v>62.25</v>
      </c>
      <c r="DQ12" s="258">
        <f t="shared" si="21"/>
        <v>62.25</v>
      </c>
    </row>
    <row r="13" spans="1:121" x14ac:dyDescent="0.3">
      <c r="A13" s="750"/>
      <c r="B13" s="205" t="s">
        <v>142</v>
      </c>
      <c r="C13" s="206">
        <v>8</v>
      </c>
      <c r="D13" s="255">
        <v>3.49E-2</v>
      </c>
      <c r="E13" s="256">
        <f>($D$4*'Tab H'!K12)</f>
        <v>3443.5131999999999</v>
      </c>
      <c r="F13" s="256">
        <f>($D$4*'Tab H'!L12)</f>
        <v>2582.6349</v>
      </c>
      <c r="G13" s="256">
        <f>($D$4*'Tab H'!M12)</f>
        <v>3546.8185960000005</v>
      </c>
      <c r="H13" s="256">
        <f>($D$4*'Tab H'!N12)</f>
        <v>3653.2231538800006</v>
      </c>
      <c r="I13" s="256">
        <f>($D$4*'Tab H'!O12)</f>
        <v>3762.8198484964005</v>
      </c>
      <c r="J13" s="256">
        <f>($D$4*'Tab H'!P12)</f>
        <v>3875.7044439512929</v>
      </c>
      <c r="K13" s="206">
        <f>ROUND($D$4*'Tab H'!Q12,0)</f>
        <v>4022</v>
      </c>
      <c r="L13" s="257">
        <f>ROUND($D$4*'Tab H'!R12,0)</f>
        <v>4022</v>
      </c>
      <c r="M13" s="258">
        <f t="shared" si="0"/>
        <v>1005.5</v>
      </c>
      <c r="N13" s="258">
        <f t="shared" si="0"/>
        <v>1005.5</v>
      </c>
      <c r="O13" s="258">
        <f t="shared" si="0"/>
        <v>1005.5</v>
      </c>
      <c r="P13" s="258">
        <f t="shared" si="0"/>
        <v>1005.5</v>
      </c>
      <c r="Q13" s="255">
        <v>3.49E-2</v>
      </c>
      <c r="Y13" s="259">
        <v>0.189</v>
      </c>
      <c r="Z13" s="256">
        <f>(0.18*'Tab H'!K12)</f>
        <v>17760.239999999998</v>
      </c>
      <c r="AA13" s="256">
        <f>(0.18*'Tab H'!L12)</f>
        <v>13320.18</v>
      </c>
      <c r="AB13" s="256">
        <f>(0.18*'Tab H'!M12)</f>
        <v>18293.047200000001</v>
      </c>
      <c r="AC13" s="256">
        <f>(0.18*'Tab H'!N12)</f>
        <v>18841.838616000001</v>
      </c>
      <c r="AD13" s="256">
        <f>(0.18*'Tab H'!O12)</f>
        <v>19407.093774480003</v>
      </c>
      <c r="AE13" s="256">
        <f>(0.18*'Tab H'!P12)</f>
        <v>19989.306587714404</v>
      </c>
      <c r="AF13" s="206">
        <f>ROUND($Y$4*'Tab H'!Q12,0)</f>
        <v>21780</v>
      </c>
      <c r="AG13" s="257">
        <f>ROUND($Y$4*'Tab H'!R12,0)</f>
        <v>21780</v>
      </c>
      <c r="AH13" s="258">
        <f t="shared" si="22"/>
        <v>5445</v>
      </c>
      <c r="AI13" s="258">
        <f t="shared" si="1"/>
        <v>5445</v>
      </c>
      <c r="AJ13" s="258">
        <f t="shared" si="1"/>
        <v>5445</v>
      </c>
      <c r="AK13" s="258">
        <f t="shared" si="1"/>
        <v>5445</v>
      </c>
      <c r="AL13" s="206">
        <v>0.15</v>
      </c>
      <c r="AM13" s="206">
        <v>0.15</v>
      </c>
      <c r="AN13" s="206">
        <v>0.15</v>
      </c>
      <c r="AO13" s="206">
        <v>0.15</v>
      </c>
      <c r="AP13" s="206">
        <v>0.15</v>
      </c>
      <c r="AQ13" s="206">
        <v>0.15</v>
      </c>
      <c r="AR13" s="206">
        <v>0.15</v>
      </c>
      <c r="AS13" s="260">
        <f t="shared" si="2"/>
        <v>0.15</v>
      </c>
      <c r="AT13" s="260">
        <f t="shared" si="3"/>
        <v>0.15</v>
      </c>
      <c r="AU13" s="260">
        <f t="shared" si="4"/>
        <v>0.15</v>
      </c>
      <c r="AV13" s="260">
        <f t="shared" si="5"/>
        <v>0.15</v>
      </c>
      <c r="AW13" s="260">
        <f t="shared" si="6"/>
        <v>0.15</v>
      </c>
      <c r="AX13" s="260">
        <f t="shared" si="7"/>
        <v>0.15</v>
      </c>
      <c r="AY13" s="256">
        <f t="shared" si="23"/>
        <v>2664.0359999999996</v>
      </c>
      <c r="AZ13" s="256">
        <f t="shared" si="24"/>
        <v>1998.027</v>
      </c>
      <c r="BA13" s="256">
        <f t="shared" si="25"/>
        <v>2743.9570800000001</v>
      </c>
      <c r="BB13" s="256">
        <f t="shared" si="26"/>
        <v>2826.2757924000002</v>
      </c>
      <c r="BC13" s="256">
        <f t="shared" si="27"/>
        <v>2911.0640661720004</v>
      </c>
      <c r="BD13" s="256">
        <f t="shared" si="28"/>
        <v>2998.3959881571604</v>
      </c>
      <c r="BE13" s="206">
        <f t="shared" si="29"/>
        <v>3267</v>
      </c>
      <c r="BF13" s="257">
        <f t="shared" si="9"/>
        <v>3267</v>
      </c>
      <c r="BG13" s="258">
        <f t="shared" si="30"/>
        <v>816.75</v>
      </c>
      <c r="BH13" s="258">
        <f t="shared" si="10"/>
        <v>816.75</v>
      </c>
      <c r="BI13" s="258">
        <f t="shared" si="10"/>
        <v>816.75</v>
      </c>
      <c r="BJ13" s="258">
        <f t="shared" si="10"/>
        <v>816.75</v>
      </c>
      <c r="BK13" s="260">
        <v>0.04</v>
      </c>
      <c r="BL13" s="256">
        <f>($BK$4*'Tab H'!K12)</f>
        <v>3946.7200000000003</v>
      </c>
      <c r="BM13" s="256">
        <f>($BK$4*'Tab H'!L12)</f>
        <v>2960.04</v>
      </c>
      <c r="BN13" s="256">
        <f>($BK$4*'Tab H'!M12)</f>
        <v>4065.1216000000004</v>
      </c>
      <c r="BO13" s="256">
        <f>($BK$4*'Tab H'!N12)</f>
        <v>4187.075248000001</v>
      </c>
      <c r="BP13" s="256">
        <f>($BK$4*'Tab H'!O12)</f>
        <v>4312.6875054400007</v>
      </c>
      <c r="BQ13" s="256">
        <f>($BK$4*'Tab H'!P12)</f>
        <v>4442.0681306032011</v>
      </c>
      <c r="BR13" s="256">
        <f t="shared" si="31"/>
        <v>4610</v>
      </c>
      <c r="BS13" s="257">
        <f>ROUND($BK$4*'Tab H'!R12,0)</f>
        <v>4610</v>
      </c>
      <c r="BT13" s="258">
        <f t="shared" si="32"/>
        <v>1152.5</v>
      </c>
      <c r="BU13" s="258">
        <f t="shared" si="11"/>
        <v>1152.5</v>
      </c>
      <c r="BV13" s="258">
        <f t="shared" si="11"/>
        <v>1152.5</v>
      </c>
      <c r="BW13" s="258">
        <f t="shared" si="11"/>
        <v>1152.5</v>
      </c>
      <c r="BX13" s="255">
        <v>0.04</v>
      </c>
      <c r="CF13" s="260">
        <v>0.21</v>
      </c>
      <c r="CG13" s="256">
        <f>($CF$4*'Tab H'!K12)</f>
        <v>20720.28</v>
      </c>
      <c r="CH13" s="256">
        <f>($CF$4*'Tab H'!L12)</f>
        <v>15540.21</v>
      </c>
      <c r="CI13" s="256">
        <f>($CF$4*'Tab H'!M12)</f>
        <v>21341.8884</v>
      </c>
      <c r="CJ13" s="256">
        <f>($CF$4*'Tab H'!N12)</f>
        <v>21982.145052000003</v>
      </c>
      <c r="CK13" s="256">
        <f>($CF$4*'Tab H'!O12)</f>
        <v>22641.609403560004</v>
      </c>
      <c r="CL13" s="256">
        <f>($CF$4*'Tab H'!P12)</f>
        <v>23320.857685666804</v>
      </c>
      <c r="CM13" s="206">
        <f>ROUND($CF$4*'Tab H'!Q12,0)</f>
        <v>24200</v>
      </c>
      <c r="CN13" s="257">
        <f>ROUND($CF$4*'Tab H'!R12,0)</f>
        <v>24200</v>
      </c>
      <c r="CO13" s="258">
        <f t="shared" si="33"/>
        <v>6050</v>
      </c>
      <c r="CP13" s="258">
        <f t="shared" si="12"/>
        <v>6050</v>
      </c>
      <c r="CQ13" s="258">
        <f t="shared" si="12"/>
        <v>6050</v>
      </c>
      <c r="CR13" s="258">
        <f t="shared" si="12"/>
        <v>6050</v>
      </c>
      <c r="CS13" s="206">
        <v>8.0000000000000002E-3</v>
      </c>
      <c r="CT13" s="206">
        <v>8.0000000000000002E-3</v>
      </c>
      <c r="CU13" s="206">
        <v>8.0000000000000002E-3</v>
      </c>
      <c r="CV13" s="206">
        <v>8.0000000000000002E-3</v>
      </c>
      <c r="CW13" s="206">
        <v>8.0000000000000002E-3</v>
      </c>
      <c r="CX13" s="206">
        <v>8.0000000000000002E-3</v>
      </c>
      <c r="CY13" s="206">
        <v>8.0000000000000002E-3</v>
      </c>
      <c r="CZ13" s="259">
        <f t="shared" si="13"/>
        <v>8.0000000000000002E-3</v>
      </c>
      <c r="DA13" s="259">
        <f t="shared" si="14"/>
        <v>8.0000000000000002E-3</v>
      </c>
      <c r="DB13" s="259">
        <f t="shared" si="15"/>
        <v>8.0000000000000002E-3</v>
      </c>
      <c r="DC13" s="259">
        <f t="shared" si="16"/>
        <v>8.0000000000000002E-3</v>
      </c>
      <c r="DD13" s="259">
        <f t="shared" si="17"/>
        <v>8.0000000000000002E-3</v>
      </c>
      <c r="DE13" s="259">
        <f t="shared" si="18"/>
        <v>8.0000000000000002E-3</v>
      </c>
      <c r="DF13" s="256">
        <f t="shared" si="34"/>
        <v>165.76223999999999</v>
      </c>
      <c r="DG13" s="256">
        <f t="shared" si="35"/>
        <v>124.32168</v>
      </c>
      <c r="DH13" s="256">
        <f t="shared" si="36"/>
        <v>170.73510720000002</v>
      </c>
      <c r="DI13" s="256">
        <f t="shared" si="37"/>
        <v>175.85716041600003</v>
      </c>
      <c r="DJ13" s="256">
        <f t="shared" si="38"/>
        <v>181.13287522848003</v>
      </c>
      <c r="DK13" s="256">
        <f t="shared" si="39"/>
        <v>186.56686148533444</v>
      </c>
      <c r="DL13" s="206">
        <f t="shared" si="40"/>
        <v>194</v>
      </c>
      <c r="DM13" s="257">
        <f t="shared" si="20"/>
        <v>194</v>
      </c>
      <c r="DN13" s="258">
        <f t="shared" si="41"/>
        <v>48.5</v>
      </c>
      <c r="DO13" s="258">
        <f t="shared" si="21"/>
        <v>48.5</v>
      </c>
      <c r="DP13" s="258">
        <f t="shared" si="21"/>
        <v>48.5</v>
      </c>
      <c r="DQ13" s="258">
        <f t="shared" si="21"/>
        <v>48.5</v>
      </c>
    </row>
    <row r="14" spans="1:121" x14ac:dyDescent="0.3">
      <c r="A14" s="750"/>
      <c r="B14" s="205" t="s">
        <v>143</v>
      </c>
      <c r="C14" s="206">
        <v>12</v>
      </c>
      <c r="D14" s="255">
        <v>3.49E-2</v>
      </c>
      <c r="E14" s="256">
        <f>($D$4*'Tab H'!K13)</f>
        <v>3992.2808</v>
      </c>
      <c r="F14" s="256">
        <f>($D$4*'Tab H'!L13)</f>
        <v>2994.2105999999999</v>
      </c>
      <c r="G14" s="256">
        <f>($D$4*'Tab H'!M13)</f>
        <v>4112.0492240000003</v>
      </c>
      <c r="H14" s="256">
        <f>($D$4*'Tab H'!N13)</f>
        <v>4235.4107007200009</v>
      </c>
      <c r="I14" s="256">
        <f>($D$4*'Tab H'!O13)</f>
        <v>4362.4730217416009</v>
      </c>
      <c r="J14" s="256">
        <f>($D$4*'Tab H'!P13)</f>
        <v>4493.3472123938491</v>
      </c>
      <c r="K14" s="206">
        <f>ROUND($D$4*'Tab H'!Q13,0)</f>
        <v>4663</v>
      </c>
      <c r="L14" s="257">
        <f>ROUND($D$4*'Tab H'!R13,0)</f>
        <v>4663</v>
      </c>
      <c r="M14" s="258">
        <f t="shared" si="0"/>
        <v>1165.75</v>
      </c>
      <c r="N14" s="258">
        <f t="shared" si="0"/>
        <v>1165.75</v>
      </c>
      <c r="O14" s="258">
        <f t="shared" si="0"/>
        <v>1165.75</v>
      </c>
      <c r="P14" s="258">
        <f t="shared" si="0"/>
        <v>1165.75</v>
      </c>
      <c r="Q14" s="255">
        <v>3.49E-2</v>
      </c>
      <c r="U14" s="447">
        <f>ROUND($D$4*'Tab H'!N13,0)</f>
        <v>4235</v>
      </c>
      <c r="V14" s="447">
        <f>ROUND($D$4*'Tab H'!O13,0)</f>
        <v>4362</v>
      </c>
      <c r="Y14" s="259">
        <v>0.189</v>
      </c>
      <c r="Z14" s="256">
        <f>(0.18*'Tab H'!K13)</f>
        <v>20590.559999999998</v>
      </c>
      <c r="AA14" s="256">
        <f>(0.18*'Tab H'!L13)</f>
        <v>15442.92</v>
      </c>
      <c r="AB14" s="256">
        <f>(0.18*'Tab H'!M13)</f>
        <v>21208.2768</v>
      </c>
      <c r="AC14" s="256">
        <f>(0.18*'Tab H'!N13)</f>
        <v>21844.525104000004</v>
      </c>
      <c r="AD14" s="256">
        <f>(0.18*'Tab H'!O13)</f>
        <v>22499.860857120002</v>
      </c>
      <c r="AE14" s="256">
        <f>(0.18*'Tab H'!P13)</f>
        <v>23174.856682833604</v>
      </c>
      <c r="AF14" s="206">
        <f>ROUND($Y$4*'Tab H'!Q13,0)</f>
        <v>25251</v>
      </c>
      <c r="AG14" s="257">
        <f>ROUND($Y$4*'Tab H'!R13,0)</f>
        <v>25251</v>
      </c>
      <c r="AH14" s="258">
        <f t="shared" si="22"/>
        <v>6312.75</v>
      </c>
      <c r="AI14" s="258">
        <f t="shared" si="1"/>
        <v>6312.75</v>
      </c>
      <c r="AJ14" s="258">
        <f t="shared" si="1"/>
        <v>6312.75</v>
      </c>
      <c r="AK14" s="258">
        <f t="shared" si="1"/>
        <v>6312.75</v>
      </c>
      <c r="AL14" s="206">
        <v>0.15</v>
      </c>
      <c r="AM14" s="206">
        <v>0.15</v>
      </c>
      <c r="AN14" s="206">
        <v>0.15</v>
      </c>
      <c r="AO14" s="206">
        <v>0.15</v>
      </c>
      <c r="AP14" s="206">
        <v>0.15</v>
      </c>
      <c r="AQ14" s="206">
        <v>0.15</v>
      </c>
      <c r="AR14" s="206">
        <v>0.15</v>
      </c>
      <c r="AS14" s="260">
        <f t="shared" si="2"/>
        <v>0.15</v>
      </c>
      <c r="AT14" s="260">
        <f t="shared" si="3"/>
        <v>0.15</v>
      </c>
      <c r="AU14" s="260">
        <f t="shared" si="4"/>
        <v>0.15</v>
      </c>
      <c r="AV14" s="260">
        <f t="shared" si="5"/>
        <v>0.15</v>
      </c>
      <c r="AW14" s="260">
        <f t="shared" si="6"/>
        <v>0.15</v>
      </c>
      <c r="AX14" s="260">
        <f t="shared" si="7"/>
        <v>0.15</v>
      </c>
      <c r="AY14" s="256">
        <f t="shared" si="23"/>
        <v>3088.5839999999994</v>
      </c>
      <c r="AZ14" s="256">
        <f t="shared" si="24"/>
        <v>2316.4380000000001</v>
      </c>
      <c r="BA14" s="256">
        <f t="shared" si="25"/>
        <v>3181.24152</v>
      </c>
      <c r="BB14" s="256">
        <f t="shared" si="26"/>
        <v>3276.6787656000006</v>
      </c>
      <c r="BC14" s="256">
        <f t="shared" si="27"/>
        <v>3374.9791285680003</v>
      </c>
      <c r="BD14" s="256">
        <f t="shared" si="28"/>
        <v>3476.2285024250405</v>
      </c>
      <c r="BE14" s="206">
        <f t="shared" si="29"/>
        <v>3788</v>
      </c>
      <c r="BF14" s="257">
        <f t="shared" si="9"/>
        <v>3788</v>
      </c>
      <c r="BG14" s="258">
        <f t="shared" si="30"/>
        <v>947</v>
      </c>
      <c r="BH14" s="258">
        <f t="shared" si="10"/>
        <v>947</v>
      </c>
      <c r="BI14" s="258">
        <f t="shared" si="10"/>
        <v>947</v>
      </c>
      <c r="BJ14" s="258">
        <f t="shared" si="10"/>
        <v>947</v>
      </c>
      <c r="BK14" s="260">
        <v>0.04</v>
      </c>
      <c r="BL14" s="256">
        <f>($BK$4*'Tab H'!K13)</f>
        <v>4575.68</v>
      </c>
      <c r="BM14" s="256">
        <f>($BK$4*'Tab H'!L13)</f>
        <v>3431.76</v>
      </c>
      <c r="BN14" s="256">
        <f>($BK$4*'Tab H'!M13)</f>
        <v>4712.9504000000006</v>
      </c>
      <c r="BO14" s="256">
        <f>($BK$4*'Tab H'!N13)</f>
        <v>4854.3389120000011</v>
      </c>
      <c r="BP14" s="256">
        <f>($BK$4*'Tab H'!O13)</f>
        <v>4999.9690793600012</v>
      </c>
      <c r="BQ14" s="256">
        <f>($BK$4*'Tab H'!P13)</f>
        <v>5149.9681517408007</v>
      </c>
      <c r="BR14" s="256">
        <f t="shared" si="31"/>
        <v>5344</v>
      </c>
      <c r="BS14" s="257">
        <f>ROUND($BK$4*'Tab H'!R13,0)</f>
        <v>5344</v>
      </c>
      <c r="BT14" s="258">
        <f t="shared" si="32"/>
        <v>1336</v>
      </c>
      <c r="BU14" s="258">
        <f t="shared" si="11"/>
        <v>1336</v>
      </c>
      <c r="BV14" s="258">
        <f t="shared" si="11"/>
        <v>1336</v>
      </c>
      <c r="BW14" s="258">
        <f t="shared" si="11"/>
        <v>1336</v>
      </c>
      <c r="BX14" s="255">
        <v>0.04</v>
      </c>
      <c r="CB14" s="447">
        <f>ROUND($BX$4*'Tab H'!N13,0)</f>
        <v>4854</v>
      </c>
      <c r="CC14" s="447">
        <f>ROUND($BX$4*'Tab H'!O13,0)</f>
        <v>5000</v>
      </c>
      <c r="CF14" s="260">
        <v>0.21</v>
      </c>
      <c r="CG14" s="256">
        <f>($CF$4*'Tab H'!K13)</f>
        <v>24022.32</v>
      </c>
      <c r="CH14" s="256">
        <f>($CF$4*'Tab H'!L13)</f>
        <v>18016.739999999998</v>
      </c>
      <c r="CI14" s="256">
        <f>($CF$4*'Tab H'!M13)</f>
        <v>24742.989600000001</v>
      </c>
      <c r="CJ14" s="256">
        <f>($CF$4*'Tab H'!N13)</f>
        <v>25485.279288000002</v>
      </c>
      <c r="CK14" s="256">
        <f>($CF$4*'Tab H'!O13)</f>
        <v>26249.837666640004</v>
      </c>
      <c r="CL14" s="256">
        <f>($CF$4*'Tab H'!P13)</f>
        <v>27037.332796639203</v>
      </c>
      <c r="CM14" s="206">
        <f>ROUND($CF$4*'Tab H'!Q13,0)</f>
        <v>28057</v>
      </c>
      <c r="CN14" s="257">
        <f>ROUND($CF$4*'Tab H'!R13,0)</f>
        <v>28057</v>
      </c>
      <c r="CO14" s="258">
        <f t="shared" si="33"/>
        <v>7014.25</v>
      </c>
      <c r="CP14" s="258">
        <f t="shared" si="12"/>
        <v>7014.25</v>
      </c>
      <c r="CQ14" s="258">
        <f t="shared" si="12"/>
        <v>7014.25</v>
      </c>
      <c r="CR14" s="258">
        <f t="shared" si="12"/>
        <v>7014.25</v>
      </c>
      <c r="CS14" s="206">
        <v>8.0000000000000002E-3</v>
      </c>
      <c r="CT14" s="206">
        <v>8.0000000000000002E-3</v>
      </c>
      <c r="CU14" s="206">
        <v>8.0000000000000002E-3</v>
      </c>
      <c r="CV14" s="206">
        <v>8.0000000000000002E-3</v>
      </c>
      <c r="CW14" s="206">
        <v>8.0000000000000002E-3</v>
      </c>
      <c r="CX14" s="206">
        <v>8.0000000000000002E-3</v>
      </c>
      <c r="CY14" s="206">
        <v>8.0000000000000002E-3</v>
      </c>
      <c r="CZ14" s="259">
        <f t="shared" si="13"/>
        <v>8.0000000000000002E-3</v>
      </c>
      <c r="DA14" s="259">
        <f t="shared" si="14"/>
        <v>8.0000000000000002E-3</v>
      </c>
      <c r="DB14" s="259">
        <f t="shared" si="15"/>
        <v>8.0000000000000002E-3</v>
      </c>
      <c r="DC14" s="259">
        <f t="shared" si="16"/>
        <v>8.0000000000000002E-3</v>
      </c>
      <c r="DD14" s="259">
        <f t="shared" si="17"/>
        <v>8.0000000000000002E-3</v>
      </c>
      <c r="DE14" s="259">
        <f t="shared" si="18"/>
        <v>8.0000000000000002E-3</v>
      </c>
      <c r="DF14" s="256">
        <f t="shared" si="34"/>
        <v>192.17856</v>
      </c>
      <c r="DG14" s="256">
        <f t="shared" si="35"/>
        <v>144.13391999999999</v>
      </c>
      <c r="DH14" s="256">
        <f t="shared" si="36"/>
        <v>197.94391680000001</v>
      </c>
      <c r="DI14" s="256">
        <f t="shared" si="37"/>
        <v>203.88223430400001</v>
      </c>
      <c r="DJ14" s="256">
        <f t="shared" si="38"/>
        <v>209.99870133312004</v>
      </c>
      <c r="DK14" s="256">
        <f t="shared" si="39"/>
        <v>216.29866237311361</v>
      </c>
      <c r="DL14" s="206">
        <f t="shared" si="40"/>
        <v>224</v>
      </c>
      <c r="DM14" s="257">
        <f t="shared" si="20"/>
        <v>224</v>
      </c>
      <c r="DN14" s="258">
        <f t="shared" si="41"/>
        <v>56</v>
      </c>
      <c r="DO14" s="258">
        <f t="shared" si="21"/>
        <v>56</v>
      </c>
      <c r="DP14" s="258">
        <f t="shared" si="21"/>
        <v>56</v>
      </c>
      <c r="DQ14" s="258">
        <f t="shared" si="21"/>
        <v>56</v>
      </c>
    </row>
    <row r="15" spans="1:121" x14ac:dyDescent="0.3">
      <c r="A15" s="750" t="s">
        <v>128</v>
      </c>
      <c r="B15" s="205" t="s">
        <v>144</v>
      </c>
      <c r="C15" s="206">
        <v>18</v>
      </c>
      <c r="D15" s="255">
        <v>3.49E-2</v>
      </c>
      <c r="E15" s="256">
        <f>($D$4*'Tab H'!K14)</f>
        <v>5203.5551000000005</v>
      </c>
      <c r="F15" s="256">
        <f>($D$4*'Tab H'!L14)</f>
        <v>3902.6663250000001</v>
      </c>
      <c r="G15" s="256">
        <f>($D$4*'Tab H'!M14)</f>
        <v>5359.6617530000003</v>
      </c>
      <c r="H15" s="256">
        <f>($D$4*'Tab H'!N14)</f>
        <v>5520.4516055899994</v>
      </c>
      <c r="I15" s="256">
        <f>($D$4*'Tab H'!O14)</f>
        <v>5686.0651537576996</v>
      </c>
      <c r="J15" s="256">
        <f>($D$4*'Tab H'!P14)</f>
        <v>5856.6471083704309</v>
      </c>
      <c r="K15" s="206">
        <f>ROUND($D$4*'Tab H'!Q14,0)</f>
        <v>6077</v>
      </c>
      <c r="L15" s="257">
        <f>ROUND($D$4*'Tab H'!R14,0)</f>
        <v>6077</v>
      </c>
      <c r="M15" s="258">
        <f t="shared" si="0"/>
        <v>1519.25</v>
      </c>
      <c r="N15" s="258">
        <f t="shared" si="0"/>
        <v>1519.25</v>
      </c>
      <c r="O15" s="258">
        <f t="shared" si="0"/>
        <v>1519.25</v>
      </c>
      <c r="P15" s="258">
        <f t="shared" si="0"/>
        <v>1519.25</v>
      </c>
      <c r="Q15" s="255">
        <v>3.49E-2</v>
      </c>
      <c r="R15" s="447">
        <f>ROUND($D$4*'Tab H'!K14,0)</f>
        <v>5204</v>
      </c>
      <c r="S15" s="493">
        <f>ROUND($D$4*'Tab H'!L14,0)</f>
        <v>3903</v>
      </c>
      <c r="T15" s="447">
        <f>ROUND($D$4*'Tab H'!M14,0)</f>
        <v>5360</v>
      </c>
      <c r="U15" s="447">
        <f>ROUND($D$4*'Tab H'!N14,0)</f>
        <v>5520</v>
      </c>
      <c r="V15" s="447">
        <f>ROUND($D$4*'Tab H'!O14,0)</f>
        <v>5686</v>
      </c>
      <c r="W15" s="447">
        <f>ROUND($D$4*'Tab H'!P14,0)</f>
        <v>5857</v>
      </c>
      <c r="X15" s="447">
        <f>ROUND($D$4*'Tab H'!Q14,0)</f>
        <v>6077</v>
      </c>
      <c r="Y15" s="259">
        <v>0.189</v>
      </c>
      <c r="Z15" s="256">
        <f>(0.18*'Tab H'!K14)</f>
        <v>26837.82</v>
      </c>
      <c r="AA15" s="256">
        <f>(0.18*'Tab H'!L14)</f>
        <v>20128.364999999998</v>
      </c>
      <c r="AB15" s="256">
        <f>(0.18*'Tab H'!M14)</f>
        <v>27642.954600000001</v>
      </c>
      <c r="AC15" s="256">
        <f>(0.18*'Tab H'!N14)</f>
        <v>28472.243237999999</v>
      </c>
      <c r="AD15" s="256">
        <f>(0.18*'Tab H'!O14)</f>
        <v>29326.410535139999</v>
      </c>
      <c r="AE15" s="256">
        <f>(0.18*'Tab H'!P14)</f>
        <v>30206.202851194201</v>
      </c>
      <c r="AF15" s="206">
        <f>ROUND($Y$4*'Tab H'!Q14,0)</f>
        <v>32912</v>
      </c>
      <c r="AG15" s="257">
        <f>ROUND($Y$4*'Tab H'!R14,0)</f>
        <v>32912</v>
      </c>
      <c r="AH15" s="258">
        <f t="shared" si="22"/>
        <v>8228</v>
      </c>
      <c r="AI15" s="258">
        <f t="shared" si="1"/>
        <v>8228</v>
      </c>
      <c r="AJ15" s="258">
        <f t="shared" si="1"/>
        <v>8228</v>
      </c>
      <c r="AK15" s="258">
        <f t="shared" si="1"/>
        <v>8228</v>
      </c>
      <c r="AL15" s="206">
        <v>0.15</v>
      </c>
      <c r="AM15" s="206">
        <v>0.15</v>
      </c>
      <c r="AN15" s="206">
        <v>0.15</v>
      </c>
      <c r="AO15" s="206">
        <v>0.15</v>
      </c>
      <c r="AP15" s="206">
        <v>0.15</v>
      </c>
      <c r="AQ15" s="206">
        <v>0.15</v>
      </c>
      <c r="AR15" s="206">
        <v>0.15</v>
      </c>
      <c r="AS15" s="260">
        <f t="shared" si="2"/>
        <v>0.15</v>
      </c>
      <c r="AT15" s="260">
        <f t="shared" si="3"/>
        <v>0.15</v>
      </c>
      <c r="AU15" s="260">
        <f t="shared" si="4"/>
        <v>0.15</v>
      </c>
      <c r="AV15" s="260">
        <f t="shared" si="5"/>
        <v>0.15</v>
      </c>
      <c r="AW15" s="260">
        <f t="shared" si="6"/>
        <v>0.15</v>
      </c>
      <c r="AX15" s="260">
        <f t="shared" si="7"/>
        <v>0.15</v>
      </c>
      <c r="AY15" s="256">
        <f t="shared" si="23"/>
        <v>4025.6729999999998</v>
      </c>
      <c r="AZ15" s="256">
        <f t="shared" si="24"/>
        <v>3019.2547499999996</v>
      </c>
      <c r="BA15" s="256">
        <f t="shared" si="25"/>
        <v>4146.44319</v>
      </c>
      <c r="BB15" s="256">
        <f t="shared" si="26"/>
        <v>4270.8364856999997</v>
      </c>
      <c r="BC15" s="256">
        <f t="shared" si="27"/>
        <v>4398.9615802709995</v>
      </c>
      <c r="BD15" s="256">
        <f t="shared" si="28"/>
        <v>4530.9304276791299</v>
      </c>
      <c r="BE15" s="206">
        <f t="shared" si="29"/>
        <v>4937</v>
      </c>
      <c r="BF15" s="257">
        <f t="shared" si="9"/>
        <v>4937</v>
      </c>
      <c r="BG15" s="258">
        <f t="shared" si="30"/>
        <v>1234.25</v>
      </c>
      <c r="BH15" s="258">
        <f t="shared" si="10"/>
        <v>1234.25</v>
      </c>
      <c r="BI15" s="258">
        <f t="shared" si="10"/>
        <v>1234.25</v>
      </c>
      <c r="BJ15" s="258">
        <f t="shared" si="10"/>
        <v>1234.25</v>
      </c>
      <c r="BK15" s="260">
        <v>0.04</v>
      </c>
      <c r="BL15" s="256">
        <f>($BK$4*'Tab H'!K14)</f>
        <v>5963.96</v>
      </c>
      <c r="BM15" s="256">
        <f>($BK$4*'Tab H'!L14)</f>
        <v>4472.97</v>
      </c>
      <c r="BN15" s="256">
        <f>($BK$4*'Tab H'!M14)</f>
        <v>6142.8788000000004</v>
      </c>
      <c r="BO15" s="256">
        <f>($BK$4*'Tab H'!N14)</f>
        <v>6327.165164</v>
      </c>
      <c r="BP15" s="256">
        <f>($BK$4*'Tab H'!O14)</f>
        <v>6516.9801189199998</v>
      </c>
      <c r="BQ15" s="256">
        <f>($BK$4*'Tab H'!P14)</f>
        <v>6712.4895224876009</v>
      </c>
      <c r="BR15" s="256">
        <f t="shared" si="31"/>
        <v>6966</v>
      </c>
      <c r="BS15" s="257">
        <f>ROUND($BK$4*'Tab H'!R14,0)</f>
        <v>6966</v>
      </c>
      <c r="BT15" s="258">
        <f t="shared" si="32"/>
        <v>1741.5</v>
      </c>
      <c r="BU15" s="258">
        <f t="shared" si="11"/>
        <v>1741.5</v>
      </c>
      <c r="BV15" s="258">
        <f t="shared" si="11"/>
        <v>1741.5</v>
      </c>
      <c r="BW15" s="258">
        <f t="shared" si="11"/>
        <v>1741.5</v>
      </c>
      <c r="BX15" s="255">
        <v>0.04</v>
      </c>
      <c r="BY15" s="447">
        <f>ROUND($BX$4*'Tab H'!K14,0)</f>
        <v>5964</v>
      </c>
      <c r="BZ15" s="493">
        <f>ROUND($BX$4*'Tab H'!L14,0)</f>
        <v>4473</v>
      </c>
      <c r="CA15" s="447">
        <f>ROUND($BX$4*'Tab H'!M14,0)</f>
        <v>6143</v>
      </c>
      <c r="CB15" s="447">
        <f>ROUND($BX$4*'Tab H'!N14,0)</f>
        <v>6327</v>
      </c>
      <c r="CC15" s="447">
        <f>ROUND($BX$4*'Tab H'!O14,0)</f>
        <v>6517</v>
      </c>
      <c r="CD15" s="447">
        <f>ROUND($BX$4*'Tab H'!P14,0)</f>
        <v>6712</v>
      </c>
      <c r="CE15" s="447">
        <f>ROUND($BX$4*'Tab H'!Q14,0)</f>
        <v>6966</v>
      </c>
      <c r="CF15" s="260">
        <v>0.21</v>
      </c>
      <c r="CG15" s="256">
        <f>($CF$4*'Tab H'!K14)</f>
        <v>31310.789999999997</v>
      </c>
      <c r="CH15" s="256">
        <f>($CF$4*'Tab H'!L14)</f>
        <v>23483.092499999999</v>
      </c>
      <c r="CI15" s="256">
        <f>($CF$4*'Tab H'!M14)</f>
        <v>32250.113699999998</v>
      </c>
      <c r="CJ15" s="256">
        <f>($CF$4*'Tab H'!N14)</f>
        <v>33217.617111</v>
      </c>
      <c r="CK15" s="256">
        <f>($CF$4*'Tab H'!O14)</f>
        <v>34214.145624329998</v>
      </c>
      <c r="CL15" s="256">
        <f>($CF$4*'Tab H'!P14)</f>
        <v>35240.5699930599</v>
      </c>
      <c r="CM15" s="206">
        <f>ROUND($CF$4*'Tab H'!Q14,0)</f>
        <v>36569</v>
      </c>
      <c r="CN15" s="257">
        <f>ROUND($CF$4*'Tab H'!R14,0)</f>
        <v>36569</v>
      </c>
      <c r="CO15" s="258">
        <f t="shared" si="33"/>
        <v>9142.25</v>
      </c>
      <c r="CP15" s="258">
        <f t="shared" si="12"/>
        <v>9142.25</v>
      </c>
      <c r="CQ15" s="258">
        <f t="shared" si="12"/>
        <v>9142.25</v>
      </c>
      <c r="CR15" s="258">
        <f t="shared" si="12"/>
        <v>9142.25</v>
      </c>
      <c r="CS15" s="206">
        <v>8.0000000000000002E-3</v>
      </c>
      <c r="CT15" s="206">
        <v>8.0000000000000002E-3</v>
      </c>
      <c r="CU15" s="206">
        <v>8.0000000000000002E-3</v>
      </c>
      <c r="CV15" s="206">
        <v>8.0000000000000002E-3</v>
      </c>
      <c r="CW15" s="206">
        <v>8.0000000000000002E-3</v>
      </c>
      <c r="CX15" s="206">
        <v>8.0000000000000002E-3</v>
      </c>
      <c r="CY15" s="206">
        <v>8.0000000000000002E-3</v>
      </c>
      <c r="CZ15" s="259">
        <f t="shared" si="13"/>
        <v>8.0000000000000002E-3</v>
      </c>
      <c r="DA15" s="259">
        <f t="shared" si="14"/>
        <v>8.0000000000000002E-3</v>
      </c>
      <c r="DB15" s="259">
        <f t="shared" si="15"/>
        <v>8.0000000000000002E-3</v>
      </c>
      <c r="DC15" s="259">
        <f t="shared" si="16"/>
        <v>8.0000000000000002E-3</v>
      </c>
      <c r="DD15" s="259">
        <f t="shared" si="17"/>
        <v>8.0000000000000002E-3</v>
      </c>
      <c r="DE15" s="259">
        <f t="shared" si="18"/>
        <v>8.0000000000000002E-3</v>
      </c>
      <c r="DF15" s="256">
        <f t="shared" si="34"/>
        <v>250.48631999999998</v>
      </c>
      <c r="DG15" s="256">
        <f t="shared" si="35"/>
        <v>187.86473999999998</v>
      </c>
      <c r="DH15" s="256">
        <f t="shared" si="36"/>
        <v>258.0009096</v>
      </c>
      <c r="DI15" s="256">
        <f t="shared" si="37"/>
        <v>265.74093688800002</v>
      </c>
      <c r="DJ15" s="256">
        <f t="shared" si="38"/>
        <v>273.71316499464001</v>
      </c>
      <c r="DK15" s="256">
        <f t="shared" si="39"/>
        <v>281.9245599444792</v>
      </c>
      <c r="DL15" s="206">
        <f t="shared" si="40"/>
        <v>293</v>
      </c>
      <c r="DM15" s="257">
        <f t="shared" si="20"/>
        <v>293</v>
      </c>
      <c r="DN15" s="258">
        <f t="shared" si="41"/>
        <v>73.25</v>
      </c>
      <c r="DO15" s="258">
        <f t="shared" si="21"/>
        <v>73.25</v>
      </c>
      <c r="DP15" s="258">
        <f t="shared" si="21"/>
        <v>73.25</v>
      </c>
      <c r="DQ15" s="258">
        <f t="shared" si="21"/>
        <v>73.25</v>
      </c>
    </row>
    <row r="16" spans="1:121" x14ac:dyDescent="0.3">
      <c r="A16" s="750"/>
      <c r="B16" s="205" t="s">
        <v>145</v>
      </c>
      <c r="C16" s="206">
        <v>18</v>
      </c>
      <c r="D16" s="255">
        <v>3.49E-2</v>
      </c>
      <c r="E16" s="256">
        <f>($D$4*'Tab H'!K15)</f>
        <v>5660.7451000000001</v>
      </c>
      <c r="F16" s="256">
        <f>($D$4*'Tab H'!L15)</f>
        <v>4245.5588250000001</v>
      </c>
      <c r="G16" s="256">
        <f>($D$4*'Tab H'!M15)</f>
        <v>5830.5674530000006</v>
      </c>
      <c r="H16" s="256">
        <f>($D$4*'Tab H'!N15)</f>
        <v>6005.4844765899998</v>
      </c>
      <c r="I16" s="256">
        <f>($D$4*'Tab H'!O15)</f>
        <v>6185.6490108876997</v>
      </c>
      <c r="J16" s="256">
        <f>($D$4*'Tab H'!P15)</f>
        <v>6371.2184812143314</v>
      </c>
      <c r="K16" s="206">
        <f>ROUND($D$4*'Tab H'!Q15,0)</f>
        <v>6419</v>
      </c>
      <c r="L16" s="257">
        <f>ROUND($D$4*'Tab H'!R15,0)</f>
        <v>6419</v>
      </c>
      <c r="M16" s="258">
        <f t="shared" si="0"/>
        <v>1604.75</v>
      </c>
      <c r="N16" s="258">
        <f t="shared" si="0"/>
        <v>1604.75</v>
      </c>
      <c r="O16" s="258">
        <f t="shared" si="0"/>
        <v>1604.75</v>
      </c>
      <c r="P16" s="258">
        <f t="shared" si="0"/>
        <v>1604.75</v>
      </c>
      <c r="Q16" s="255">
        <v>3.49E-2</v>
      </c>
      <c r="S16" s="493"/>
      <c r="U16" s="447">
        <f>ROUND($D$4*'Tab H'!N15,0)</f>
        <v>6005</v>
      </c>
      <c r="V16" s="447">
        <f>ROUND($D$4*'Tab H'!O15,0)</f>
        <v>6186</v>
      </c>
      <c r="W16" s="447">
        <f>ROUND($D$4*'Tab H'!P15,0)</f>
        <v>6371</v>
      </c>
      <c r="X16" s="447">
        <f>ROUND($D$4*'Tab H'!Q15,0)</f>
        <v>6419</v>
      </c>
      <c r="Y16" s="259">
        <v>0.189</v>
      </c>
      <c r="Z16" s="256">
        <f>(0.18*'Tab H'!K15)</f>
        <v>29195.82</v>
      </c>
      <c r="AA16" s="256">
        <f>(0.18*'Tab H'!L15)</f>
        <v>21896.864999999998</v>
      </c>
      <c r="AB16" s="256">
        <f>(0.18*'Tab H'!M15)</f>
        <v>30071.694599999999</v>
      </c>
      <c r="AC16" s="256">
        <f>(0.18*'Tab H'!N15)</f>
        <v>30973.845438</v>
      </c>
      <c r="AD16" s="256">
        <f>(0.18*'Tab H'!O15)</f>
        <v>31903.06080114</v>
      </c>
      <c r="AE16" s="256">
        <f>(0.18*'Tab H'!P15)</f>
        <v>32860.152625174196</v>
      </c>
      <c r="AF16" s="206">
        <f>ROUND($Y$4*'Tab H'!Q15,0)</f>
        <v>34761</v>
      </c>
      <c r="AG16" s="257">
        <f>ROUND($Y$4*'Tab H'!R15,0)</f>
        <v>34761</v>
      </c>
      <c r="AH16" s="258">
        <f t="shared" si="22"/>
        <v>8690.25</v>
      </c>
      <c r="AI16" s="258">
        <f t="shared" si="1"/>
        <v>8690.25</v>
      </c>
      <c r="AJ16" s="258">
        <f t="shared" si="1"/>
        <v>8690.25</v>
      </c>
      <c r="AK16" s="258">
        <f t="shared" si="1"/>
        <v>8690.25</v>
      </c>
      <c r="AL16" s="206">
        <v>0.15</v>
      </c>
      <c r="AM16" s="206">
        <v>0.15</v>
      </c>
      <c r="AN16" s="206">
        <v>0.15</v>
      </c>
      <c r="AO16" s="206">
        <v>0.15</v>
      </c>
      <c r="AP16" s="206">
        <v>0.15</v>
      </c>
      <c r="AQ16" s="206">
        <v>0.15</v>
      </c>
      <c r="AR16" s="206">
        <v>0.15</v>
      </c>
      <c r="AS16" s="260">
        <f t="shared" si="2"/>
        <v>0.15</v>
      </c>
      <c r="AT16" s="260">
        <f t="shared" si="3"/>
        <v>0.15</v>
      </c>
      <c r="AU16" s="260">
        <f t="shared" si="4"/>
        <v>0.15</v>
      </c>
      <c r="AV16" s="260">
        <f t="shared" si="5"/>
        <v>0.15</v>
      </c>
      <c r="AW16" s="260">
        <f t="shared" si="6"/>
        <v>0.15</v>
      </c>
      <c r="AX16" s="260">
        <f t="shared" si="7"/>
        <v>0.15</v>
      </c>
      <c r="AY16" s="256">
        <f t="shared" si="23"/>
        <v>4379.3729999999996</v>
      </c>
      <c r="AZ16" s="256">
        <f t="shared" si="24"/>
        <v>3284.5297499999997</v>
      </c>
      <c r="BA16" s="256">
        <f t="shared" si="25"/>
        <v>4510.7541899999997</v>
      </c>
      <c r="BB16" s="256">
        <f t="shared" si="26"/>
        <v>4646.0768157000002</v>
      </c>
      <c r="BC16" s="256">
        <f t="shared" si="27"/>
        <v>4785.459120171</v>
      </c>
      <c r="BD16" s="256">
        <f t="shared" si="28"/>
        <v>4929.0228937761294</v>
      </c>
      <c r="BE16" s="206">
        <f t="shared" si="29"/>
        <v>5214</v>
      </c>
      <c r="BF16" s="257">
        <f t="shared" si="9"/>
        <v>5214</v>
      </c>
      <c r="BG16" s="258">
        <f t="shared" si="30"/>
        <v>1303.5</v>
      </c>
      <c r="BH16" s="258">
        <f t="shared" si="10"/>
        <v>1303.5</v>
      </c>
      <c r="BI16" s="258">
        <f t="shared" si="10"/>
        <v>1303.5</v>
      </c>
      <c r="BJ16" s="258">
        <f t="shared" si="10"/>
        <v>1303.5</v>
      </c>
      <c r="BK16" s="260">
        <v>0.04</v>
      </c>
      <c r="BL16" s="256">
        <f>($BK$4*'Tab H'!K15)</f>
        <v>6487.96</v>
      </c>
      <c r="BM16" s="256">
        <f>($BK$4*'Tab H'!L15)</f>
        <v>4865.97</v>
      </c>
      <c r="BN16" s="256">
        <f>($BK$4*'Tab H'!M15)</f>
        <v>6682.5987999999998</v>
      </c>
      <c r="BO16" s="256">
        <f>($BK$4*'Tab H'!N15)</f>
        <v>6883.0767640000004</v>
      </c>
      <c r="BP16" s="256">
        <f>($BK$4*'Tab H'!O15)</f>
        <v>7089.5690669200003</v>
      </c>
      <c r="BQ16" s="256">
        <f>($BK$4*'Tab H'!P15)</f>
        <v>7302.2561389276007</v>
      </c>
      <c r="BR16" s="256">
        <f t="shared" si="31"/>
        <v>7357</v>
      </c>
      <c r="BS16" s="257">
        <f>ROUND($BK$4*'Tab H'!R15,0)</f>
        <v>7357</v>
      </c>
      <c r="BT16" s="258">
        <f t="shared" si="32"/>
        <v>1839.25</v>
      </c>
      <c r="BU16" s="258">
        <f t="shared" si="11"/>
        <v>1839.25</v>
      </c>
      <c r="BV16" s="258">
        <f t="shared" si="11"/>
        <v>1839.25</v>
      </c>
      <c r="BW16" s="258">
        <f t="shared" si="11"/>
        <v>1839.25</v>
      </c>
      <c r="BX16" s="255">
        <v>0.04</v>
      </c>
      <c r="CB16" s="447">
        <f>ROUND($BX$4*'Tab H'!N15,0)</f>
        <v>6883</v>
      </c>
      <c r="CC16" s="447">
        <f>ROUND($BX$4*'Tab H'!O15,0)</f>
        <v>7090</v>
      </c>
      <c r="CD16" s="447">
        <f>ROUND($BX$4*'Tab H'!P15,0)</f>
        <v>7302</v>
      </c>
      <c r="CE16" s="447">
        <f>ROUND($BX$4*'Tab H'!Q15,0)</f>
        <v>7357</v>
      </c>
      <c r="CF16" s="260">
        <v>0.21</v>
      </c>
      <c r="CG16" s="256">
        <f>($CF$4*'Tab H'!K15)</f>
        <v>34061.79</v>
      </c>
      <c r="CH16" s="256">
        <f>($CF$4*'Tab H'!L15)</f>
        <v>25546.342499999999</v>
      </c>
      <c r="CI16" s="256">
        <f>($CF$4*'Tab H'!M15)</f>
        <v>35083.643700000001</v>
      </c>
      <c r="CJ16" s="256">
        <f>($CF$4*'Tab H'!N15)</f>
        <v>36136.153010999995</v>
      </c>
      <c r="CK16" s="256">
        <f>($CF$4*'Tab H'!O15)</f>
        <v>37220.237601329995</v>
      </c>
      <c r="CL16" s="256">
        <f>($CF$4*'Tab H'!P15)</f>
        <v>38336.844729369899</v>
      </c>
      <c r="CM16" s="206">
        <f>ROUND($CF$4*'Tab H'!Q15,0)</f>
        <v>38624</v>
      </c>
      <c r="CN16" s="257">
        <f>ROUND($CF$4*'Tab H'!R15,0)</f>
        <v>38624</v>
      </c>
      <c r="CO16" s="258">
        <f t="shared" si="33"/>
        <v>9656</v>
      </c>
      <c r="CP16" s="258">
        <f t="shared" si="12"/>
        <v>9656</v>
      </c>
      <c r="CQ16" s="258">
        <f t="shared" si="12"/>
        <v>9656</v>
      </c>
      <c r="CR16" s="258">
        <f t="shared" si="12"/>
        <v>9656</v>
      </c>
      <c r="CS16" s="206">
        <v>8.0000000000000002E-3</v>
      </c>
      <c r="CT16" s="206">
        <v>8.0000000000000002E-3</v>
      </c>
      <c r="CU16" s="206">
        <v>8.0000000000000002E-3</v>
      </c>
      <c r="CV16" s="206">
        <v>8.0000000000000002E-3</v>
      </c>
      <c r="CW16" s="206">
        <v>8.0000000000000002E-3</v>
      </c>
      <c r="CX16" s="206">
        <v>8.0000000000000002E-3</v>
      </c>
      <c r="CY16" s="206">
        <v>8.0000000000000002E-3</v>
      </c>
      <c r="CZ16" s="259">
        <f t="shared" si="13"/>
        <v>8.0000000000000002E-3</v>
      </c>
      <c r="DA16" s="259">
        <f t="shared" si="14"/>
        <v>8.0000000000000002E-3</v>
      </c>
      <c r="DB16" s="259">
        <f t="shared" si="15"/>
        <v>8.0000000000000002E-3</v>
      </c>
      <c r="DC16" s="259">
        <f t="shared" si="16"/>
        <v>8.0000000000000002E-3</v>
      </c>
      <c r="DD16" s="259">
        <f t="shared" si="17"/>
        <v>8.0000000000000002E-3</v>
      </c>
      <c r="DE16" s="259">
        <f t="shared" si="18"/>
        <v>8.0000000000000002E-3</v>
      </c>
      <c r="DF16" s="256">
        <f t="shared" si="34"/>
        <v>272.49432000000002</v>
      </c>
      <c r="DG16" s="256">
        <f t="shared" si="35"/>
        <v>204.37073999999998</v>
      </c>
      <c r="DH16" s="256">
        <f t="shared" si="36"/>
        <v>280.66914960000003</v>
      </c>
      <c r="DI16" s="256">
        <f t="shared" si="37"/>
        <v>289.08922408799998</v>
      </c>
      <c r="DJ16" s="256">
        <f t="shared" si="38"/>
        <v>297.76190081063999</v>
      </c>
      <c r="DK16" s="256">
        <f t="shared" si="39"/>
        <v>306.6947578349592</v>
      </c>
      <c r="DL16" s="206">
        <f t="shared" si="40"/>
        <v>309</v>
      </c>
      <c r="DM16" s="257">
        <f t="shared" si="20"/>
        <v>309</v>
      </c>
      <c r="DN16" s="258">
        <f t="shared" si="41"/>
        <v>77.25</v>
      </c>
      <c r="DO16" s="258">
        <f t="shared" si="21"/>
        <v>77.25</v>
      </c>
      <c r="DP16" s="258">
        <f t="shared" si="21"/>
        <v>77.25</v>
      </c>
      <c r="DQ16" s="258">
        <f t="shared" si="21"/>
        <v>77.25</v>
      </c>
    </row>
    <row r="17" spans="1:121" x14ac:dyDescent="0.3">
      <c r="A17" s="750"/>
      <c r="B17" s="205" t="s">
        <v>146</v>
      </c>
      <c r="C17" s="206">
        <v>19</v>
      </c>
      <c r="D17" s="255">
        <v>3.49E-2</v>
      </c>
      <c r="E17" s="256">
        <f>($D$4*'Tab H'!K16)</f>
        <v>6298.9962999999998</v>
      </c>
      <c r="F17" s="256">
        <f>($D$4*'Tab H'!L16)</f>
        <v>4724.2472250000001</v>
      </c>
      <c r="G17" s="256">
        <f>($D$4*'Tab H'!M16)</f>
        <v>6487.9661890000007</v>
      </c>
      <c r="H17" s="256">
        <f>($D$4*'Tab H'!N16)</f>
        <v>6682.6051746700005</v>
      </c>
      <c r="I17" s="256">
        <f>($D$4*'Tab H'!O16)</f>
        <v>6883.0833299101005</v>
      </c>
      <c r="J17" s="256">
        <f>($D$4*'Tab H'!P16)</f>
        <v>7089.5758298074043</v>
      </c>
      <c r="K17" s="206">
        <f>ROUND($D$4*'Tab H'!Q16,0)</f>
        <v>7357</v>
      </c>
      <c r="L17" s="257">
        <f>ROUND($D$4*'Tab H'!R16,0)</f>
        <v>7357</v>
      </c>
      <c r="M17" s="258">
        <f t="shared" si="0"/>
        <v>1839.25</v>
      </c>
      <c r="N17" s="258">
        <f t="shared" si="0"/>
        <v>1839.25</v>
      </c>
      <c r="O17" s="258">
        <f t="shared" si="0"/>
        <v>1839.25</v>
      </c>
      <c r="P17" s="258">
        <f t="shared" si="0"/>
        <v>1839.25</v>
      </c>
      <c r="Q17" s="255">
        <v>3.49E-2</v>
      </c>
      <c r="S17" s="493"/>
      <c r="W17" s="447">
        <f>ROUND($D$4*'Tab H'!P16,0)</f>
        <v>7090</v>
      </c>
      <c r="X17" s="447">
        <f>ROUND($D$4*'Tab H'!Q16,0)</f>
        <v>7357</v>
      </c>
      <c r="Y17" s="259">
        <v>0.189</v>
      </c>
      <c r="Z17" s="256">
        <f>(0.18*'Tab H'!K16)</f>
        <v>32487.66</v>
      </c>
      <c r="AA17" s="256">
        <f>(0.18*'Tab H'!L16)</f>
        <v>24365.744999999999</v>
      </c>
      <c r="AB17" s="256">
        <f>(0.18*'Tab H'!M16)</f>
        <v>33462.289799999999</v>
      </c>
      <c r="AC17" s="256">
        <f>(0.18*'Tab H'!N16)</f>
        <v>34466.158494000003</v>
      </c>
      <c r="AD17" s="256">
        <f>(0.18*'Tab H'!O16)</f>
        <v>35500.143248820001</v>
      </c>
      <c r="AE17" s="256">
        <f>(0.18*'Tab H'!P16)</f>
        <v>36565.147546284599</v>
      </c>
      <c r="AF17" s="206">
        <f>ROUND($Y$4*'Tab H'!Q16,0)</f>
        <v>39842</v>
      </c>
      <c r="AG17" s="257">
        <f>ROUND($Y$4*'Tab H'!R16,0)</f>
        <v>39842</v>
      </c>
      <c r="AH17" s="258">
        <f t="shared" si="22"/>
        <v>9960.5</v>
      </c>
      <c r="AI17" s="258">
        <f t="shared" si="1"/>
        <v>9960.5</v>
      </c>
      <c r="AJ17" s="258">
        <f t="shared" si="1"/>
        <v>9960.5</v>
      </c>
      <c r="AK17" s="258">
        <f t="shared" si="1"/>
        <v>9960.5</v>
      </c>
      <c r="AL17" s="206">
        <v>0.15</v>
      </c>
      <c r="AM17" s="206">
        <v>0.15</v>
      </c>
      <c r="AN17" s="206">
        <v>0.15</v>
      </c>
      <c r="AO17" s="206">
        <v>0.15</v>
      </c>
      <c r="AP17" s="206">
        <v>0.15</v>
      </c>
      <c r="AQ17" s="206">
        <v>0.15</v>
      </c>
      <c r="AR17" s="206">
        <v>0.15</v>
      </c>
      <c r="AS17" s="260">
        <f t="shared" si="2"/>
        <v>0.15</v>
      </c>
      <c r="AT17" s="260">
        <f t="shared" si="3"/>
        <v>0.15</v>
      </c>
      <c r="AU17" s="260">
        <f t="shared" si="4"/>
        <v>0.15</v>
      </c>
      <c r="AV17" s="260">
        <f t="shared" si="5"/>
        <v>0.15</v>
      </c>
      <c r="AW17" s="260">
        <f t="shared" si="6"/>
        <v>0.15</v>
      </c>
      <c r="AX17" s="260">
        <f t="shared" si="7"/>
        <v>0.15</v>
      </c>
      <c r="AY17" s="256">
        <f t="shared" si="23"/>
        <v>4873.1489999999994</v>
      </c>
      <c r="AZ17" s="256">
        <f t="shared" si="24"/>
        <v>3654.8617499999996</v>
      </c>
      <c r="BA17" s="256">
        <f t="shared" si="25"/>
        <v>5019.3434699999998</v>
      </c>
      <c r="BB17" s="256">
        <f t="shared" si="26"/>
        <v>5169.9237741000006</v>
      </c>
      <c r="BC17" s="256">
        <f t="shared" si="27"/>
        <v>5325.0214873229997</v>
      </c>
      <c r="BD17" s="256">
        <f t="shared" si="28"/>
        <v>5484.7721319426901</v>
      </c>
      <c r="BE17" s="206">
        <f t="shared" si="29"/>
        <v>5976</v>
      </c>
      <c r="BF17" s="257">
        <f t="shared" si="9"/>
        <v>5976</v>
      </c>
      <c r="BG17" s="258">
        <f t="shared" si="30"/>
        <v>1494</v>
      </c>
      <c r="BH17" s="258">
        <f t="shared" si="10"/>
        <v>1494</v>
      </c>
      <c r="BI17" s="258">
        <f t="shared" si="10"/>
        <v>1494</v>
      </c>
      <c r="BJ17" s="258">
        <f t="shared" si="10"/>
        <v>1494</v>
      </c>
      <c r="BK17" s="260">
        <v>0.04</v>
      </c>
      <c r="BL17" s="256">
        <f>($BK$4*'Tab H'!K16)</f>
        <v>7219.4800000000005</v>
      </c>
      <c r="BM17" s="256">
        <f>($BK$4*'Tab H'!L16)</f>
        <v>5414.61</v>
      </c>
      <c r="BN17" s="256">
        <f>($BK$4*'Tab H'!M16)</f>
        <v>7436.0644000000011</v>
      </c>
      <c r="BO17" s="256">
        <f>($BK$4*'Tab H'!N16)</f>
        <v>7659.1463320000003</v>
      </c>
      <c r="BP17" s="256">
        <f>($BK$4*'Tab H'!O16)</f>
        <v>7888.9207219600003</v>
      </c>
      <c r="BQ17" s="256">
        <f>($BK$4*'Tab H'!P16)</f>
        <v>8125.5883436188014</v>
      </c>
      <c r="BR17" s="256">
        <f t="shared" si="31"/>
        <v>8432</v>
      </c>
      <c r="BS17" s="257">
        <f>ROUND($BK$4*'Tab H'!R16,0)</f>
        <v>8432</v>
      </c>
      <c r="BT17" s="258">
        <f t="shared" si="32"/>
        <v>2108</v>
      </c>
      <c r="BU17" s="258">
        <f t="shared" si="11"/>
        <v>2108</v>
      </c>
      <c r="BV17" s="258">
        <f t="shared" si="11"/>
        <v>2108</v>
      </c>
      <c r="BW17" s="258">
        <f t="shared" si="11"/>
        <v>2108</v>
      </c>
      <c r="BX17" s="255">
        <v>0.04</v>
      </c>
      <c r="CD17" s="447">
        <f>ROUND($BX$4*'Tab H'!P16,0)</f>
        <v>8126</v>
      </c>
      <c r="CE17" s="447">
        <f>ROUND($BX$4*'Tab H'!Q16,0)</f>
        <v>8432</v>
      </c>
      <c r="CF17" s="260">
        <v>0.21</v>
      </c>
      <c r="CG17" s="256">
        <f>($CF$4*'Tab H'!K16)</f>
        <v>37902.269999999997</v>
      </c>
      <c r="CH17" s="256">
        <f>($CF$4*'Tab H'!L16)</f>
        <v>28426.702499999999</v>
      </c>
      <c r="CI17" s="256">
        <f>($CF$4*'Tab H'!M16)</f>
        <v>39039.338100000001</v>
      </c>
      <c r="CJ17" s="256">
        <f>($CF$4*'Tab H'!N16)</f>
        <v>40210.518242999999</v>
      </c>
      <c r="CK17" s="256">
        <f>($CF$4*'Tab H'!O16)</f>
        <v>41416.833790290002</v>
      </c>
      <c r="CL17" s="256">
        <f>($CF$4*'Tab H'!P16)</f>
        <v>42659.338803998704</v>
      </c>
      <c r="CM17" s="206">
        <f>ROUND($CF$4*'Tab H'!Q16,0)</f>
        <v>44268</v>
      </c>
      <c r="CN17" s="257">
        <f>ROUND($CF$4*'Tab H'!R16,0)</f>
        <v>44268</v>
      </c>
      <c r="CO17" s="258">
        <f t="shared" si="33"/>
        <v>11067</v>
      </c>
      <c r="CP17" s="258">
        <f t="shared" si="12"/>
        <v>11067</v>
      </c>
      <c r="CQ17" s="258">
        <f t="shared" si="12"/>
        <v>11067</v>
      </c>
      <c r="CR17" s="258">
        <f t="shared" si="12"/>
        <v>11067</v>
      </c>
      <c r="CS17" s="206">
        <v>8.0000000000000002E-3</v>
      </c>
      <c r="CT17" s="206">
        <v>8.0000000000000002E-3</v>
      </c>
      <c r="CU17" s="206">
        <v>8.0000000000000002E-3</v>
      </c>
      <c r="CV17" s="206">
        <v>8.0000000000000002E-3</v>
      </c>
      <c r="CW17" s="206">
        <v>8.0000000000000002E-3</v>
      </c>
      <c r="CX17" s="206">
        <v>8.0000000000000002E-3</v>
      </c>
      <c r="CY17" s="206">
        <v>8.0000000000000002E-3</v>
      </c>
      <c r="CZ17" s="259">
        <f t="shared" si="13"/>
        <v>8.0000000000000002E-3</v>
      </c>
      <c r="DA17" s="259">
        <f t="shared" si="14"/>
        <v>8.0000000000000002E-3</v>
      </c>
      <c r="DB17" s="259">
        <f t="shared" si="15"/>
        <v>8.0000000000000002E-3</v>
      </c>
      <c r="DC17" s="259">
        <f t="shared" si="16"/>
        <v>8.0000000000000002E-3</v>
      </c>
      <c r="DD17" s="259">
        <f t="shared" si="17"/>
        <v>8.0000000000000002E-3</v>
      </c>
      <c r="DE17" s="259">
        <f t="shared" si="18"/>
        <v>8.0000000000000002E-3</v>
      </c>
      <c r="DF17" s="256">
        <f t="shared" si="34"/>
        <v>303.21815999999995</v>
      </c>
      <c r="DG17" s="256">
        <f t="shared" si="35"/>
        <v>227.41362000000001</v>
      </c>
      <c r="DH17" s="256">
        <f t="shared" si="36"/>
        <v>312.31470480000002</v>
      </c>
      <c r="DI17" s="256">
        <f t="shared" si="37"/>
        <v>321.68414594400002</v>
      </c>
      <c r="DJ17" s="256">
        <f t="shared" si="38"/>
        <v>331.33467032232005</v>
      </c>
      <c r="DK17" s="256">
        <f t="shared" si="39"/>
        <v>341.27471043198966</v>
      </c>
      <c r="DL17" s="206">
        <f t="shared" si="40"/>
        <v>354</v>
      </c>
      <c r="DM17" s="257">
        <f t="shared" si="20"/>
        <v>354</v>
      </c>
      <c r="DN17" s="258">
        <f t="shared" si="41"/>
        <v>88.5</v>
      </c>
      <c r="DO17" s="258">
        <f t="shared" si="21"/>
        <v>88.5</v>
      </c>
      <c r="DP17" s="258">
        <f t="shared" si="21"/>
        <v>88.5</v>
      </c>
      <c r="DQ17" s="258">
        <f t="shared" si="21"/>
        <v>88.5</v>
      </c>
    </row>
    <row r="18" spans="1:121" x14ac:dyDescent="0.3">
      <c r="A18" s="750"/>
      <c r="B18" s="205" t="s">
        <v>147</v>
      </c>
      <c r="C18" s="206">
        <v>24</v>
      </c>
      <c r="D18" s="255">
        <v>3.49E-2</v>
      </c>
      <c r="E18" s="256">
        <f>($D$4*'Tab H'!K17)</f>
        <v>5412.1873000000005</v>
      </c>
      <c r="F18" s="256">
        <f>($D$4*'Tab H'!L17)</f>
        <v>4059.1404750000002</v>
      </c>
      <c r="G18" s="256">
        <f>($D$4*'Tab H'!M17)</f>
        <v>5574.5529189999997</v>
      </c>
      <c r="H18" s="256">
        <f>($D$4*'Tab H'!N17)</f>
        <v>5741.7895065700004</v>
      </c>
      <c r="I18" s="256">
        <f>($D$4*'Tab H'!O17)</f>
        <v>5914.0431917671003</v>
      </c>
      <c r="J18" s="256">
        <f>($D$4*'Tab H'!P17)</f>
        <v>6091.4644875201129</v>
      </c>
      <c r="K18" s="206">
        <f>ROUND($D$4*'Tab H'!Q17,0)</f>
        <v>6072</v>
      </c>
      <c r="L18" s="257">
        <f>ROUND($D$4*'Tab H'!R17,0)</f>
        <v>6072</v>
      </c>
      <c r="M18" s="258">
        <f t="shared" si="0"/>
        <v>1518</v>
      </c>
      <c r="N18" s="258">
        <f t="shared" si="0"/>
        <v>1518</v>
      </c>
      <c r="O18" s="258">
        <f t="shared" si="0"/>
        <v>1518</v>
      </c>
      <c r="P18" s="258">
        <f t="shared" si="0"/>
        <v>1518</v>
      </c>
      <c r="Q18" s="255">
        <v>3.49E-2</v>
      </c>
      <c r="S18" s="493"/>
      <c r="W18" s="447">
        <f>ROUND($D$4*'Tab H'!P17,0)</f>
        <v>6091</v>
      </c>
      <c r="X18" s="447">
        <f>ROUND($D$4*'Tab H'!Q17,0)</f>
        <v>6072</v>
      </c>
      <c r="Y18" s="259">
        <v>0.189</v>
      </c>
      <c r="Z18" s="256">
        <f>(0.18*'Tab H'!K17)</f>
        <v>27913.86</v>
      </c>
      <c r="AA18" s="256">
        <f>(0.18*'Tab H'!L17)</f>
        <v>20935.395</v>
      </c>
      <c r="AB18" s="256">
        <f>(0.18*'Tab H'!M17)</f>
        <v>28751.275799999999</v>
      </c>
      <c r="AC18" s="256">
        <f>(0.18*'Tab H'!N17)</f>
        <v>29613.814073999998</v>
      </c>
      <c r="AD18" s="256">
        <f>(0.18*'Tab H'!O17)</f>
        <v>30502.228496219999</v>
      </c>
      <c r="AE18" s="256">
        <f>(0.18*'Tab H'!P17)</f>
        <v>31417.295351106597</v>
      </c>
      <c r="AF18" s="206">
        <f>ROUND($Y$4*'Tab H'!Q17,0)</f>
        <v>32881</v>
      </c>
      <c r="AG18" s="257">
        <f>ROUND($Y$4*'Tab H'!R17,0)</f>
        <v>32881</v>
      </c>
      <c r="AH18" s="258">
        <f t="shared" si="22"/>
        <v>8220.25</v>
      </c>
      <c r="AI18" s="258">
        <f t="shared" si="1"/>
        <v>8220.25</v>
      </c>
      <c r="AJ18" s="258">
        <f t="shared" si="1"/>
        <v>8220.25</v>
      </c>
      <c r="AK18" s="258">
        <f t="shared" si="1"/>
        <v>8220.25</v>
      </c>
      <c r="AL18" s="206">
        <v>0.15</v>
      </c>
      <c r="AM18" s="206">
        <v>0.15</v>
      </c>
      <c r="AN18" s="206">
        <v>0.15</v>
      </c>
      <c r="AO18" s="206">
        <v>0.15</v>
      </c>
      <c r="AP18" s="206">
        <v>0.15</v>
      </c>
      <c r="AQ18" s="206">
        <v>0.15</v>
      </c>
      <c r="AR18" s="206">
        <v>0.15</v>
      </c>
      <c r="AS18" s="260">
        <f t="shared" si="2"/>
        <v>0.15</v>
      </c>
      <c r="AT18" s="260">
        <f t="shared" si="3"/>
        <v>0.15</v>
      </c>
      <c r="AU18" s="260">
        <f t="shared" si="4"/>
        <v>0.15</v>
      </c>
      <c r="AV18" s="260">
        <f t="shared" si="5"/>
        <v>0.15</v>
      </c>
      <c r="AW18" s="260">
        <f t="shared" si="6"/>
        <v>0.15</v>
      </c>
      <c r="AX18" s="260">
        <f t="shared" si="7"/>
        <v>0.15</v>
      </c>
      <c r="AY18" s="256">
        <f t="shared" si="23"/>
        <v>4187.0789999999997</v>
      </c>
      <c r="AZ18" s="256">
        <f t="shared" si="24"/>
        <v>3140.3092499999998</v>
      </c>
      <c r="BA18" s="256">
        <f t="shared" si="25"/>
        <v>4312.6913699999996</v>
      </c>
      <c r="BB18" s="256">
        <f t="shared" si="26"/>
        <v>4442.0721110999993</v>
      </c>
      <c r="BC18" s="256">
        <f t="shared" si="27"/>
        <v>4575.3342744329993</v>
      </c>
      <c r="BD18" s="256">
        <f t="shared" si="28"/>
        <v>4712.5943026659897</v>
      </c>
      <c r="BE18" s="206">
        <f t="shared" si="29"/>
        <v>4932</v>
      </c>
      <c r="BF18" s="257">
        <f t="shared" si="9"/>
        <v>4932</v>
      </c>
      <c r="BG18" s="258">
        <f t="shared" si="30"/>
        <v>1233</v>
      </c>
      <c r="BH18" s="258">
        <f t="shared" si="10"/>
        <v>1233</v>
      </c>
      <c r="BI18" s="258">
        <f t="shared" si="10"/>
        <v>1233</v>
      </c>
      <c r="BJ18" s="258">
        <f t="shared" si="10"/>
        <v>1233</v>
      </c>
      <c r="BK18" s="260">
        <v>0.04</v>
      </c>
      <c r="BL18" s="256">
        <f>($BK$4*'Tab H'!K17)</f>
        <v>6203.08</v>
      </c>
      <c r="BM18" s="256">
        <f>($BK$4*'Tab H'!L17)</f>
        <v>4652.3100000000004</v>
      </c>
      <c r="BN18" s="256">
        <f>($BK$4*'Tab H'!M17)</f>
        <v>6389.1724000000004</v>
      </c>
      <c r="BO18" s="256">
        <f>($BK$4*'Tab H'!N17)</f>
        <v>6580.8475719999997</v>
      </c>
      <c r="BP18" s="256">
        <f>($BK$4*'Tab H'!O17)</f>
        <v>6778.2729991599999</v>
      </c>
      <c r="BQ18" s="256">
        <f>($BK$4*'Tab H'!P17)</f>
        <v>6981.6211891347994</v>
      </c>
      <c r="BR18" s="256">
        <f t="shared" si="31"/>
        <v>6959</v>
      </c>
      <c r="BS18" s="257">
        <f>ROUND($BK$4*'Tab H'!R17,0)</f>
        <v>6959</v>
      </c>
      <c r="BT18" s="258">
        <f t="shared" si="32"/>
        <v>1739.75</v>
      </c>
      <c r="BU18" s="258">
        <f t="shared" si="11"/>
        <v>1739.75</v>
      </c>
      <c r="BV18" s="258">
        <f t="shared" si="11"/>
        <v>1739.75</v>
      </c>
      <c r="BW18" s="258">
        <f t="shared" si="11"/>
        <v>1739.75</v>
      </c>
      <c r="BX18" s="255">
        <v>0.04</v>
      </c>
      <c r="CD18" s="447">
        <f>ROUND($BX$4*'Tab H'!P17,0)</f>
        <v>6982</v>
      </c>
      <c r="CE18" s="447">
        <f>ROUND($BX$4*'Tab H'!Q17,0)</f>
        <v>6959</v>
      </c>
      <c r="CF18" s="260">
        <v>0.21</v>
      </c>
      <c r="CG18" s="256">
        <f>($CF$4*'Tab H'!K17)</f>
        <v>32566.17</v>
      </c>
      <c r="CH18" s="256">
        <f>($CF$4*'Tab H'!L17)</f>
        <v>24424.627499999999</v>
      </c>
      <c r="CI18" s="256">
        <f>($CF$4*'Tab H'!M17)</f>
        <v>33543.155099999996</v>
      </c>
      <c r="CJ18" s="256">
        <f>($CF$4*'Tab H'!N17)</f>
        <v>34549.449753000001</v>
      </c>
      <c r="CK18" s="256">
        <f>($CF$4*'Tab H'!O17)</f>
        <v>35585.93324559</v>
      </c>
      <c r="CL18" s="256">
        <f>($CF$4*'Tab H'!P17)</f>
        <v>36653.511242957698</v>
      </c>
      <c r="CM18" s="206">
        <f>ROUND($CF$4*'Tab H'!Q17,0)</f>
        <v>36534</v>
      </c>
      <c r="CN18" s="257">
        <f>ROUND($CF$4*'Tab H'!R17,0)</f>
        <v>36534</v>
      </c>
      <c r="CO18" s="258">
        <f t="shared" si="33"/>
        <v>9133.5</v>
      </c>
      <c r="CP18" s="258">
        <f t="shared" si="12"/>
        <v>9133.5</v>
      </c>
      <c r="CQ18" s="258">
        <f t="shared" si="12"/>
        <v>9133.5</v>
      </c>
      <c r="CR18" s="258">
        <f t="shared" si="12"/>
        <v>9133.5</v>
      </c>
      <c r="CS18" s="206">
        <v>8.0000000000000002E-3</v>
      </c>
      <c r="CT18" s="206">
        <v>8.0000000000000002E-3</v>
      </c>
      <c r="CU18" s="206">
        <v>8.0000000000000002E-3</v>
      </c>
      <c r="CV18" s="206">
        <v>8.0000000000000002E-3</v>
      </c>
      <c r="CW18" s="206">
        <v>8.0000000000000002E-3</v>
      </c>
      <c r="CX18" s="206">
        <v>8.0000000000000002E-3</v>
      </c>
      <c r="CY18" s="206">
        <v>8.0000000000000002E-3</v>
      </c>
      <c r="CZ18" s="259">
        <f t="shared" si="13"/>
        <v>8.0000000000000002E-3</v>
      </c>
      <c r="DA18" s="259">
        <f t="shared" si="14"/>
        <v>8.0000000000000002E-3</v>
      </c>
      <c r="DB18" s="259">
        <f t="shared" si="15"/>
        <v>8.0000000000000002E-3</v>
      </c>
      <c r="DC18" s="259">
        <f t="shared" si="16"/>
        <v>8.0000000000000002E-3</v>
      </c>
      <c r="DD18" s="259">
        <f t="shared" si="17"/>
        <v>8.0000000000000002E-3</v>
      </c>
      <c r="DE18" s="259">
        <f t="shared" si="18"/>
        <v>8.0000000000000002E-3</v>
      </c>
      <c r="DF18" s="256">
        <f t="shared" si="34"/>
        <v>260.52936</v>
      </c>
      <c r="DG18" s="256">
        <f t="shared" si="35"/>
        <v>195.39702</v>
      </c>
      <c r="DH18" s="256">
        <f t="shared" si="36"/>
        <v>268.3452408</v>
      </c>
      <c r="DI18" s="256">
        <f t="shared" si="37"/>
        <v>276.39559802400004</v>
      </c>
      <c r="DJ18" s="256">
        <f t="shared" si="38"/>
        <v>284.68746596471999</v>
      </c>
      <c r="DK18" s="256">
        <f t="shared" si="39"/>
        <v>293.22808994366159</v>
      </c>
      <c r="DL18" s="206">
        <f t="shared" si="40"/>
        <v>292</v>
      </c>
      <c r="DM18" s="257">
        <f t="shared" si="20"/>
        <v>292</v>
      </c>
      <c r="DN18" s="258">
        <f t="shared" si="41"/>
        <v>73</v>
      </c>
      <c r="DO18" s="258">
        <f t="shared" si="21"/>
        <v>73</v>
      </c>
      <c r="DP18" s="258">
        <f t="shared" si="21"/>
        <v>73</v>
      </c>
      <c r="DQ18" s="258">
        <f t="shared" si="21"/>
        <v>73</v>
      </c>
    </row>
    <row r="19" spans="1:121" x14ac:dyDescent="0.3">
      <c r="A19" s="750"/>
      <c r="B19" s="205" t="s">
        <v>148</v>
      </c>
      <c r="C19" s="206">
        <v>28</v>
      </c>
      <c r="D19" s="255">
        <v>3.49E-2</v>
      </c>
      <c r="E19" s="256">
        <f>($D$4*'Tab H'!K18)</f>
        <v>13609.8832</v>
      </c>
      <c r="F19" s="256">
        <f>($D$4*'Tab H'!L18)</f>
        <v>10207.412399999999</v>
      </c>
      <c r="G19" s="256">
        <f>($D$4*'Tab H'!M18)</f>
        <v>14018.179696000001</v>
      </c>
      <c r="H19" s="256">
        <f>($D$4*'Tab H'!N18)</f>
        <v>14438.725086880002</v>
      </c>
      <c r="I19" s="256">
        <f>($D$4*'Tab H'!O18)</f>
        <v>14871.886839486402</v>
      </c>
      <c r="J19" s="256">
        <f>($D$4*'Tab H'!P18)</f>
        <v>15318.043444670995</v>
      </c>
      <c r="K19" s="206">
        <f>ROUND($D$4*'Tab H'!Q18,0)</f>
        <v>15433</v>
      </c>
      <c r="L19" s="257">
        <f>ROUND($D$4*'Tab H'!R18,0)</f>
        <v>15433</v>
      </c>
      <c r="M19" s="258">
        <f t="shared" si="0"/>
        <v>3858.25</v>
      </c>
      <c r="N19" s="258">
        <f t="shared" si="0"/>
        <v>3858.25</v>
      </c>
      <c r="O19" s="258">
        <f t="shared" si="0"/>
        <v>3858.25</v>
      </c>
      <c r="P19" s="258">
        <f t="shared" si="0"/>
        <v>3858.25</v>
      </c>
      <c r="Q19" s="255">
        <v>3.49E-2</v>
      </c>
      <c r="S19" s="493"/>
      <c r="W19" s="447">
        <f>ROUND($D$4*'Tab H'!P18,0)</f>
        <v>15318</v>
      </c>
      <c r="X19" s="447">
        <f>ROUND($D$4*'Tab H'!Q18,0)</f>
        <v>15433</v>
      </c>
      <c r="Y19" s="259">
        <v>0.189</v>
      </c>
      <c r="Z19" s="256">
        <f>(0.18*'Tab H'!K18)</f>
        <v>70194.239999999991</v>
      </c>
      <c r="AA19" s="256">
        <f>(0.18*'Tab H'!L18)</f>
        <v>52645.68</v>
      </c>
      <c r="AB19" s="256">
        <f>(0.18*'Tab H'!M18)</f>
        <v>72300.067200000005</v>
      </c>
      <c r="AC19" s="256">
        <f>(0.18*'Tab H'!N18)</f>
        <v>74469.069216000004</v>
      </c>
      <c r="AD19" s="256">
        <f>(0.18*'Tab H'!O18)</f>
        <v>76703.14129248001</v>
      </c>
      <c r="AE19" s="256">
        <f>(0.18*'Tab H'!P18)</f>
        <v>79004.23553125441</v>
      </c>
      <c r="AF19" s="206">
        <f>ROUND($Y$4*'Tab H'!Q18,0)</f>
        <v>83576</v>
      </c>
      <c r="AG19" s="257">
        <f>ROUND($Y$4*'Tab H'!R18,0)</f>
        <v>83576</v>
      </c>
      <c r="AH19" s="258">
        <f t="shared" si="22"/>
        <v>20894</v>
      </c>
      <c r="AI19" s="258">
        <f t="shared" si="1"/>
        <v>20894</v>
      </c>
      <c r="AJ19" s="258">
        <f t="shared" si="1"/>
        <v>20894</v>
      </c>
      <c r="AK19" s="258">
        <f t="shared" si="1"/>
        <v>20894</v>
      </c>
      <c r="AL19" s="206">
        <v>0.15</v>
      </c>
      <c r="AM19" s="206">
        <v>0.15</v>
      </c>
      <c r="AN19" s="206">
        <v>0.15</v>
      </c>
      <c r="AO19" s="206">
        <v>0.15</v>
      </c>
      <c r="AP19" s="206">
        <v>0.15</v>
      </c>
      <c r="AQ19" s="206">
        <v>0.15</v>
      </c>
      <c r="AR19" s="206">
        <v>0.15</v>
      </c>
      <c r="AS19" s="260">
        <f t="shared" si="2"/>
        <v>0.15</v>
      </c>
      <c r="AT19" s="260">
        <f t="shared" si="3"/>
        <v>0.15</v>
      </c>
      <c r="AU19" s="260">
        <f t="shared" si="4"/>
        <v>0.15</v>
      </c>
      <c r="AV19" s="260">
        <f t="shared" si="5"/>
        <v>0.15</v>
      </c>
      <c r="AW19" s="260">
        <f t="shared" si="6"/>
        <v>0.15</v>
      </c>
      <c r="AX19" s="260">
        <f t="shared" si="7"/>
        <v>0.15</v>
      </c>
      <c r="AY19" s="256">
        <f t="shared" si="23"/>
        <v>10529.135999999999</v>
      </c>
      <c r="AZ19" s="256">
        <f t="shared" si="24"/>
        <v>7896.8519999999999</v>
      </c>
      <c r="BA19" s="256">
        <f t="shared" si="25"/>
        <v>10845.01008</v>
      </c>
      <c r="BB19" s="256">
        <f t="shared" si="26"/>
        <v>11170.3603824</v>
      </c>
      <c r="BC19" s="256">
        <f t="shared" si="27"/>
        <v>11505.471193872001</v>
      </c>
      <c r="BD19" s="256">
        <f t="shared" si="28"/>
        <v>11850.635329688161</v>
      </c>
      <c r="BE19" s="206">
        <f t="shared" si="29"/>
        <v>12536</v>
      </c>
      <c r="BF19" s="257">
        <f t="shared" si="9"/>
        <v>12536</v>
      </c>
      <c r="BG19" s="258">
        <f t="shared" si="30"/>
        <v>3134</v>
      </c>
      <c r="BH19" s="258">
        <f t="shared" si="10"/>
        <v>3134</v>
      </c>
      <c r="BI19" s="258">
        <f t="shared" si="10"/>
        <v>3134</v>
      </c>
      <c r="BJ19" s="258">
        <f t="shared" si="10"/>
        <v>3134</v>
      </c>
      <c r="BK19" s="260">
        <v>0.04</v>
      </c>
      <c r="BL19" s="256">
        <f>($BK$4*'Tab H'!K18)</f>
        <v>15598.720000000001</v>
      </c>
      <c r="BM19" s="256">
        <f>($BK$4*'Tab H'!L18)</f>
        <v>11699.04</v>
      </c>
      <c r="BN19" s="256">
        <f>($BK$4*'Tab H'!M18)</f>
        <v>16066.681600000002</v>
      </c>
      <c r="BO19" s="256">
        <f>($BK$4*'Tab H'!N18)</f>
        <v>16548.682048000002</v>
      </c>
      <c r="BP19" s="256">
        <f>($BK$4*'Tab H'!O18)</f>
        <v>17045.142509440004</v>
      </c>
      <c r="BQ19" s="256">
        <f>($BK$4*'Tab H'!P18)</f>
        <v>17556.496784723204</v>
      </c>
      <c r="BR19" s="256">
        <f t="shared" si="31"/>
        <v>17688</v>
      </c>
      <c r="BS19" s="257">
        <f>ROUND($BK$4*'Tab H'!R18,0)</f>
        <v>17688</v>
      </c>
      <c r="BT19" s="258">
        <f t="shared" si="32"/>
        <v>4422</v>
      </c>
      <c r="BU19" s="258">
        <f t="shared" si="11"/>
        <v>4422</v>
      </c>
      <c r="BV19" s="258">
        <f t="shared" si="11"/>
        <v>4422</v>
      </c>
      <c r="BW19" s="258">
        <f t="shared" si="11"/>
        <v>4422</v>
      </c>
      <c r="BX19" s="255">
        <v>0.04</v>
      </c>
      <c r="CD19" s="447">
        <f>ROUND($BX$4*'Tab H'!P18,0)</f>
        <v>17556</v>
      </c>
      <c r="CE19" s="447">
        <f>ROUND($BX$4*'Tab H'!Q18,0)</f>
        <v>17688</v>
      </c>
      <c r="CF19" s="260">
        <v>0.21</v>
      </c>
      <c r="CG19" s="256">
        <f>($CF$4*'Tab H'!K18)</f>
        <v>81893.279999999999</v>
      </c>
      <c r="CH19" s="256">
        <f>($CF$4*'Tab H'!L18)</f>
        <v>61419.96</v>
      </c>
      <c r="CI19" s="256">
        <f>($CF$4*'Tab H'!M18)</f>
        <v>84350.078399999999</v>
      </c>
      <c r="CJ19" s="256">
        <f>($CF$4*'Tab H'!N18)</f>
        <v>86880.580752000009</v>
      </c>
      <c r="CK19" s="256">
        <f>($CF$4*'Tab H'!O18)</f>
        <v>89486.998174560009</v>
      </c>
      <c r="CL19" s="256">
        <f>($CF$4*'Tab H'!P18)</f>
        <v>92171.608119796816</v>
      </c>
      <c r="CM19" s="206">
        <f>ROUND($CF$4*'Tab H'!Q18,0)</f>
        <v>92863</v>
      </c>
      <c r="CN19" s="257">
        <f>ROUND($CF$4*'Tab H'!R18,0)</f>
        <v>92863</v>
      </c>
      <c r="CO19" s="258">
        <f t="shared" si="33"/>
        <v>23215.75</v>
      </c>
      <c r="CP19" s="258">
        <f t="shared" si="12"/>
        <v>23215.75</v>
      </c>
      <c r="CQ19" s="258">
        <f t="shared" si="12"/>
        <v>23215.75</v>
      </c>
      <c r="CR19" s="258">
        <f t="shared" si="12"/>
        <v>23215.75</v>
      </c>
      <c r="CS19" s="206">
        <v>8.0000000000000002E-3</v>
      </c>
      <c r="CT19" s="206">
        <v>8.0000000000000002E-3</v>
      </c>
      <c r="CU19" s="206">
        <v>8.0000000000000002E-3</v>
      </c>
      <c r="CV19" s="206">
        <v>8.0000000000000002E-3</v>
      </c>
      <c r="CW19" s="206">
        <v>8.0000000000000002E-3</v>
      </c>
      <c r="CX19" s="206">
        <v>8.0000000000000002E-3</v>
      </c>
      <c r="CY19" s="206">
        <v>8.0000000000000002E-3</v>
      </c>
      <c r="CZ19" s="259">
        <f t="shared" si="13"/>
        <v>8.0000000000000002E-3</v>
      </c>
      <c r="DA19" s="259">
        <f t="shared" si="14"/>
        <v>8.0000000000000002E-3</v>
      </c>
      <c r="DB19" s="259">
        <f t="shared" si="15"/>
        <v>8.0000000000000002E-3</v>
      </c>
      <c r="DC19" s="259">
        <f t="shared" si="16"/>
        <v>8.0000000000000002E-3</v>
      </c>
      <c r="DD19" s="259">
        <f t="shared" si="17"/>
        <v>8.0000000000000002E-3</v>
      </c>
      <c r="DE19" s="259">
        <f t="shared" si="18"/>
        <v>8.0000000000000002E-3</v>
      </c>
      <c r="DF19" s="256">
        <f t="shared" si="34"/>
        <v>655.14624000000003</v>
      </c>
      <c r="DG19" s="256">
        <f t="shared" si="35"/>
        <v>491.35968000000003</v>
      </c>
      <c r="DH19" s="256">
        <f t="shared" si="36"/>
        <v>674.80062720000001</v>
      </c>
      <c r="DI19" s="256">
        <f t="shared" si="37"/>
        <v>695.04464601600012</v>
      </c>
      <c r="DJ19" s="256">
        <f t="shared" si="38"/>
        <v>715.89598539648011</v>
      </c>
      <c r="DK19" s="256">
        <f t="shared" si="39"/>
        <v>737.37286495837452</v>
      </c>
      <c r="DL19" s="206">
        <f t="shared" si="40"/>
        <v>743</v>
      </c>
      <c r="DM19" s="257">
        <f t="shared" si="20"/>
        <v>743</v>
      </c>
      <c r="DN19" s="258">
        <f t="shared" si="41"/>
        <v>185.75</v>
      </c>
      <c r="DO19" s="258">
        <f t="shared" si="21"/>
        <v>185.75</v>
      </c>
      <c r="DP19" s="258">
        <f t="shared" si="21"/>
        <v>185.75</v>
      </c>
      <c r="DQ19" s="258">
        <f t="shared" si="21"/>
        <v>185.75</v>
      </c>
    </row>
    <row r="20" spans="1:121" x14ac:dyDescent="0.3">
      <c r="A20" s="750"/>
      <c r="B20" s="205" t="s">
        <v>149</v>
      </c>
      <c r="C20" s="206">
        <v>25</v>
      </c>
      <c r="D20" s="255">
        <v>3.49E-2</v>
      </c>
      <c r="E20" s="256">
        <f>($D$4*'Tab H'!K19)</f>
        <v>12930.345300000001</v>
      </c>
      <c r="F20" s="256">
        <f>($D$4*'Tab H'!L19)</f>
        <v>9697.7589750000006</v>
      </c>
      <c r="G20" s="256">
        <f>($D$4*'Tab H'!M19)</f>
        <v>13318.255659000002</v>
      </c>
      <c r="H20" s="256">
        <f>($D$4*'Tab H'!N19)</f>
        <v>13717.803328770002</v>
      </c>
      <c r="I20" s="256">
        <f>($D$4*'Tab H'!O19)</f>
        <v>14129.337428633102</v>
      </c>
      <c r="J20" s="256">
        <f>($D$4*'Tab H'!P19)</f>
        <v>14553.217551492095</v>
      </c>
      <c r="K20" s="206">
        <f>ROUND($D$4*'Tab H'!Q19,0)</f>
        <v>14662</v>
      </c>
      <c r="L20" s="257">
        <f>ROUND($D$4*'Tab H'!R19,0)</f>
        <v>14662</v>
      </c>
      <c r="M20" s="258">
        <f t="shared" si="0"/>
        <v>3665.5</v>
      </c>
      <c r="N20" s="258">
        <f t="shared" si="0"/>
        <v>3665.5</v>
      </c>
      <c r="O20" s="258">
        <f t="shared" si="0"/>
        <v>3665.5</v>
      </c>
      <c r="P20" s="258">
        <f t="shared" si="0"/>
        <v>3665.5</v>
      </c>
      <c r="Q20" s="255">
        <v>3.49E-2</v>
      </c>
      <c r="R20" s="447">
        <f>ROUND($D$4*'Tab H'!K19,0)</f>
        <v>12930</v>
      </c>
      <c r="S20" s="493">
        <f>ROUND($D$4*'Tab H'!L19,0)</f>
        <v>9698</v>
      </c>
      <c r="T20" s="447">
        <f>ROUND($D$4*'Tab H'!M19,0)</f>
        <v>13318</v>
      </c>
      <c r="U20" s="447">
        <f>ROUND($D$4*'Tab H'!N19,0)</f>
        <v>13718</v>
      </c>
      <c r="V20" s="447">
        <f>ROUND($D$4*'Tab H'!O19,0)</f>
        <v>14129</v>
      </c>
      <c r="W20" s="447">
        <f>ROUND($D$4*'Tab H'!P19,0)</f>
        <v>14553</v>
      </c>
      <c r="X20" s="447">
        <f>ROUND($D$4*'Tab H'!Q19,0)</f>
        <v>14662</v>
      </c>
      <c r="Y20" s="259">
        <v>0.189</v>
      </c>
      <c r="Z20" s="256">
        <f>(0.18*'Tab H'!K19)</f>
        <v>66689.459999999992</v>
      </c>
      <c r="AA20" s="256">
        <f>(0.18*'Tab H'!L19)</f>
        <v>50017.095000000001</v>
      </c>
      <c r="AB20" s="256">
        <f>(0.18*'Tab H'!M19)</f>
        <v>68690.143800000005</v>
      </c>
      <c r="AC20" s="256">
        <f>(0.18*'Tab H'!N19)</f>
        <v>70750.848114000008</v>
      </c>
      <c r="AD20" s="256">
        <f>(0.18*'Tab H'!O19)</f>
        <v>72873.373557420011</v>
      </c>
      <c r="AE20" s="256">
        <f>(0.18*'Tab H'!P19)</f>
        <v>75059.574764142613</v>
      </c>
      <c r="AF20" s="206">
        <f>ROUND($Y$4*'Tab H'!Q19,0)</f>
        <v>79403</v>
      </c>
      <c r="AG20" s="257">
        <f>ROUND($Y$4*'Tab H'!R19,0)</f>
        <v>79403</v>
      </c>
      <c r="AH20" s="258">
        <f t="shared" si="22"/>
        <v>19850.75</v>
      </c>
      <c r="AI20" s="258">
        <f t="shared" si="22"/>
        <v>19850.75</v>
      </c>
      <c r="AJ20" s="258">
        <f t="shared" si="22"/>
        <v>19850.75</v>
      </c>
      <c r="AK20" s="258">
        <f t="shared" si="22"/>
        <v>19850.75</v>
      </c>
      <c r="AL20" s="206">
        <v>0.15</v>
      </c>
      <c r="AM20" s="206">
        <v>0.15</v>
      </c>
      <c r="AN20" s="206">
        <v>0.15</v>
      </c>
      <c r="AO20" s="206">
        <v>0.15</v>
      </c>
      <c r="AP20" s="206">
        <v>0.15</v>
      </c>
      <c r="AQ20" s="206">
        <v>0.15</v>
      </c>
      <c r="AR20" s="206">
        <v>0.15</v>
      </c>
      <c r="AS20" s="260">
        <f t="shared" si="2"/>
        <v>0.15</v>
      </c>
      <c r="AT20" s="260">
        <f t="shared" si="3"/>
        <v>0.15</v>
      </c>
      <c r="AU20" s="260">
        <f t="shared" si="4"/>
        <v>0.15</v>
      </c>
      <c r="AV20" s="260">
        <f t="shared" si="5"/>
        <v>0.15</v>
      </c>
      <c r="AW20" s="260">
        <f t="shared" si="6"/>
        <v>0.15</v>
      </c>
      <c r="AX20" s="260">
        <f t="shared" si="7"/>
        <v>0.15</v>
      </c>
      <c r="AY20" s="256">
        <f t="shared" si="23"/>
        <v>10003.418999999998</v>
      </c>
      <c r="AZ20" s="256">
        <f t="shared" si="24"/>
        <v>7502.5642499999994</v>
      </c>
      <c r="BA20" s="256">
        <f t="shared" si="25"/>
        <v>10303.521570000001</v>
      </c>
      <c r="BB20" s="256">
        <f t="shared" si="26"/>
        <v>10612.6272171</v>
      </c>
      <c r="BC20" s="256">
        <f t="shared" si="27"/>
        <v>10931.006033613001</v>
      </c>
      <c r="BD20" s="256">
        <f t="shared" si="28"/>
        <v>11258.936214621392</v>
      </c>
      <c r="BE20" s="206">
        <f t="shared" si="29"/>
        <v>11910</v>
      </c>
      <c r="BF20" s="257">
        <f t="shared" si="9"/>
        <v>11910</v>
      </c>
      <c r="BG20" s="258">
        <f t="shared" si="30"/>
        <v>2977.5</v>
      </c>
      <c r="BH20" s="258">
        <f t="shared" si="30"/>
        <v>2977.5</v>
      </c>
      <c r="BI20" s="258">
        <f t="shared" si="30"/>
        <v>2977.5</v>
      </c>
      <c r="BJ20" s="258">
        <f t="shared" si="30"/>
        <v>2977.5</v>
      </c>
      <c r="BK20" s="260">
        <v>0.04</v>
      </c>
      <c r="BL20" s="256">
        <f>($BK$4*'Tab H'!K19)</f>
        <v>14819.880000000001</v>
      </c>
      <c r="BM20" s="256">
        <f>($BK$4*'Tab H'!L19)</f>
        <v>11114.91</v>
      </c>
      <c r="BN20" s="256">
        <f>($BK$4*'Tab H'!M19)</f>
        <v>15264.476400000001</v>
      </c>
      <c r="BO20" s="256">
        <f>($BK$4*'Tab H'!N19)</f>
        <v>15722.410692000003</v>
      </c>
      <c r="BP20" s="256">
        <f>($BK$4*'Tab H'!O19)</f>
        <v>16194.083012760002</v>
      </c>
      <c r="BQ20" s="256">
        <f>($BK$4*'Tab H'!P19)</f>
        <v>16679.905503142803</v>
      </c>
      <c r="BR20" s="256">
        <f t="shared" si="31"/>
        <v>16805</v>
      </c>
      <c r="BS20" s="257">
        <f>ROUND($BK$4*'Tab H'!R19,0)</f>
        <v>16805</v>
      </c>
      <c r="BT20" s="258">
        <f t="shared" si="32"/>
        <v>4201.25</v>
      </c>
      <c r="BU20" s="258">
        <f t="shared" si="32"/>
        <v>4201.25</v>
      </c>
      <c r="BV20" s="258">
        <f t="shared" si="32"/>
        <v>4201.25</v>
      </c>
      <c r="BW20" s="258">
        <f t="shared" si="32"/>
        <v>4201.25</v>
      </c>
      <c r="BX20" s="255">
        <v>0.04</v>
      </c>
      <c r="BY20" s="447">
        <f>ROUND($BX$4*'Tab H'!K19,0)</f>
        <v>14820</v>
      </c>
      <c r="BZ20" s="493">
        <f>ROUND($BX$4*'Tab H'!L19,0)</f>
        <v>11115</v>
      </c>
      <c r="CA20" s="447">
        <f>ROUND($BX$4*'Tab H'!M19,0)</f>
        <v>15264</v>
      </c>
      <c r="CB20" s="447">
        <f>ROUND($BX$4*'Tab H'!N19,0)</f>
        <v>15722</v>
      </c>
      <c r="CC20" s="447">
        <f>ROUND($BX$4*'Tab H'!O19,0)</f>
        <v>16194</v>
      </c>
      <c r="CD20" s="447">
        <f>ROUND($BX$4*'Tab H'!P19,0)</f>
        <v>16680</v>
      </c>
      <c r="CE20" s="447">
        <f>ROUND($BX$4*'Tab H'!Q19,0)</f>
        <v>16805</v>
      </c>
      <c r="CF20" s="260">
        <v>0.21</v>
      </c>
      <c r="CG20" s="256">
        <f>($CF$4*'Tab H'!K19)</f>
        <v>77804.37</v>
      </c>
      <c r="CH20" s="256">
        <f>($CF$4*'Tab H'!L19)</f>
        <v>58353.277499999997</v>
      </c>
      <c r="CI20" s="256">
        <f>($CF$4*'Tab H'!M19)</f>
        <v>80138.501100000009</v>
      </c>
      <c r="CJ20" s="256">
        <f>($CF$4*'Tab H'!N19)</f>
        <v>82542.656133000011</v>
      </c>
      <c r="CK20" s="256">
        <f>($CF$4*'Tab H'!O19)</f>
        <v>85018.935816990008</v>
      </c>
      <c r="CL20" s="256">
        <f>($CF$4*'Tab H'!P19)</f>
        <v>87569.503891499713</v>
      </c>
      <c r="CM20" s="206">
        <f>ROUND($CF$4*'Tab H'!Q19,0)</f>
        <v>88225</v>
      </c>
      <c r="CN20" s="257">
        <f>ROUND($CF$4*'Tab H'!R19,0)</f>
        <v>88225</v>
      </c>
      <c r="CO20" s="258">
        <f t="shared" si="33"/>
        <v>22056.25</v>
      </c>
      <c r="CP20" s="258">
        <f t="shared" si="33"/>
        <v>22056.25</v>
      </c>
      <c r="CQ20" s="258">
        <f t="shared" si="33"/>
        <v>22056.25</v>
      </c>
      <c r="CR20" s="258">
        <f t="shared" si="33"/>
        <v>22056.25</v>
      </c>
      <c r="CS20" s="206">
        <v>8.0000000000000002E-3</v>
      </c>
      <c r="CT20" s="206">
        <v>8.0000000000000002E-3</v>
      </c>
      <c r="CU20" s="206">
        <v>8.0000000000000002E-3</v>
      </c>
      <c r="CV20" s="206">
        <v>8.0000000000000002E-3</v>
      </c>
      <c r="CW20" s="206">
        <v>8.0000000000000002E-3</v>
      </c>
      <c r="CX20" s="206">
        <v>8.0000000000000002E-3</v>
      </c>
      <c r="CY20" s="206">
        <v>8.0000000000000002E-3</v>
      </c>
      <c r="CZ20" s="259">
        <f t="shared" si="13"/>
        <v>8.0000000000000002E-3</v>
      </c>
      <c r="DA20" s="259">
        <f t="shared" si="14"/>
        <v>8.0000000000000002E-3</v>
      </c>
      <c r="DB20" s="259">
        <f t="shared" si="15"/>
        <v>8.0000000000000002E-3</v>
      </c>
      <c r="DC20" s="259">
        <f t="shared" si="16"/>
        <v>8.0000000000000002E-3</v>
      </c>
      <c r="DD20" s="259">
        <f t="shared" si="17"/>
        <v>8.0000000000000002E-3</v>
      </c>
      <c r="DE20" s="259">
        <f t="shared" si="18"/>
        <v>8.0000000000000002E-3</v>
      </c>
      <c r="DF20" s="256">
        <f t="shared" si="34"/>
        <v>622.43495999999993</v>
      </c>
      <c r="DG20" s="256">
        <f t="shared" si="35"/>
        <v>466.82621999999998</v>
      </c>
      <c r="DH20" s="256">
        <f t="shared" si="36"/>
        <v>641.10800880000011</v>
      </c>
      <c r="DI20" s="256">
        <f t="shared" si="37"/>
        <v>660.34124906400007</v>
      </c>
      <c r="DJ20" s="256">
        <f t="shared" si="38"/>
        <v>680.15148653592007</v>
      </c>
      <c r="DK20" s="256">
        <f t="shared" si="39"/>
        <v>700.55603113199777</v>
      </c>
      <c r="DL20" s="206">
        <f t="shared" si="40"/>
        <v>706</v>
      </c>
      <c r="DM20" s="257">
        <f t="shared" si="20"/>
        <v>706</v>
      </c>
      <c r="DN20" s="258">
        <f t="shared" si="41"/>
        <v>176.5</v>
      </c>
      <c r="DO20" s="258">
        <f t="shared" si="41"/>
        <v>176.5</v>
      </c>
      <c r="DP20" s="258">
        <f t="shared" si="41"/>
        <v>176.5</v>
      </c>
      <c r="DQ20" s="258">
        <f t="shared" si="41"/>
        <v>176.5</v>
      </c>
    </row>
    <row r="21" spans="1:121" x14ac:dyDescent="0.3">
      <c r="A21" s="750"/>
      <c r="B21" s="205" t="s">
        <v>150</v>
      </c>
      <c r="C21" s="206">
        <v>28</v>
      </c>
      <c r="D21" s="255">
        <v>3.49E-2</v>
      </c>
      <c r="E21" s="256">
        <f>($D$4*'Tab H'!K20)</f>
        <v>14503.881600000001</v>
      </c>
      <c r="F21" s="256">
        <f>($D$4*'Tab H'!L20)</f>
        <v>10877.9112</v>
      </c>
      <c r="G21" s="256">
        <f>($D$4*'Tab H'!M20)</f>
        <v>14938.998048000001</v>
      </c>
      <c r="H21" s="256">
        <f>($D$4*'Tab H'!N20)</f>
        <v>15387.16798944</v>
      </c>
      <c r="I21" s="256">
        <f>($D$4*'Tab H'!O20)</f>
        <v>15848.783029123202</v>
      </c>
      <c r="J21" s="256">
        <f>($D$4*'Tab H'!P20)</f>
        <v>16324.246519996899</v>
      </c>
      <c r="K21" s="206">
        <f>ROUND($D$4*'Tab H'!Q20,0)</f>
        <v>16940</v>
      </c>
      <c r="L21" s="257">
        <f>ROUND($D$4*'Tab H'!R20,0)</f>
        <v>16940</v>
      </c>
      <c r="M21" s="258">
        <f t="shared" si="0"/>
        <v>4235</v>
      </c>
      <c r="N21" s="258">
        <f t="shared" si="0"/>
        <v>4235</v>
      </c>
      <c r="O21" s="258">
        <f t="shared" si="0"/>
        <v>4235</v>
      </c>
      <c r="P21" s="258">
        <f t="shared" si="0"/>
        <v>4235</v>
      </c>
      <c r="Q21" s="255">
        <v>3.49E-2</v>
      </c>
      <c r="R21" s="447">
        <f>ROUND($D$4*'Tab H'!K20,0)</f>
        <v>14504</v>
      </c>
      <c r="S21" s="493">
        <f>ROUND($D$4*'Tab H'!L20,0)</f>
        <v>10878</v>
      </c>
      <c r="T21" s="447">
        <f>ROUND($D$4*'Tab H'!M20,0)</f>
        <v>14939</v>
      </c>
      <c r="U21" s="447">
        <f>ROUND($D$4*'Tab H'!N20,0)</f>
        <v>15387</v>
      </c>
      <c r="V21" s="447">
        <f>ROUND($D$4*'Tab H'!O20,0)</f>
        <v>15849</v>
      </c>
      <c r="W21" s="447">
        <f>ROUND($D$4*'Tab H'!P20,0)</f>
        <v>16324</v>
      </c>
      <c r="X21" s="447">
        <f>ROUND($D$4*'Tab H'!Q20,0)</f>
        <v>16940</v>
      </c>
      <c r="Y21" s="259">
        <v>0.189</v>
      </c>
      <c r="Z21" s="256">
        <f>(0.18*'Tab H'!K20)</f>
        <v>74805.119999999995</v>
      </c>
      <c r="AA21" s="256">
        <f>(0.18*'Tab H'!L20)</f>
        <v>56103.839999999997</v>
      </c>
      <c r="AB21" s="256">
        <f>(0.18*'Tab H'!M20)</f>
        <v>77049.2736</v>
      </c>
      <c r="AC21" s="256">
        <f>(0.18*'Tab H'!N20)</f>
        <v>79360.751808000001</v>
      </c>
      <c r="AD21" s="256">
        <f>(0.18*'Tab H'!O20)</f>
        <v>81741.574362240004</v>
      </c>
      <c r="AE21" s="256">
        <f>(0.18*'Tab H'!P20)</f>
        <v>84193.821593107205</v>
      </c>
      <c r="AF21" s="206">
        <f>ROUND($Y$4*'Tab H'!Q20,0)</f>
        <v>91738</v>
      </c>
      <c r="AG21" s="257">
        <f>ROUND($Y$4*'Tab H'!R20,0)</f>
        <v>91738</v>
      </c>
      <c r="AH21" s="258">
        <f t="shared" si="22"/>
        <v>22934.5</v>
      </c>
      <c r="AI21" s="258">
        <f t="shared" si="22"/>
        <v>22934.5</v>
      </c>
      <c r="AJ21" s="258">
        <f t="shared" si="22"/>
        <v>22934.5</v>
      </c>
      <c r="AK21" s="258">
        <f t="shared" si="22"/>
        <v>22934.5</v>
      </c>
      <c r="AL21" s="206">
        <v>0.15</v>
      </c>
      <c r="AM21" s="206">
        <v>0.15</v>
      </c>
      <c r="AN21" s="206">
        <v>0.15</v>
      </c>
      <c r="AO21" s="206">
        <v>0.15</v>
      </c>
      <c r="AP21" s="206">
        <v>0.15</v>
      </c>
      <c r="AQ21" s="206">
        <v>0.15</v>
      </c>
      <c r="AR21" s="206">
        <v>0.15</v>
      </c>
      <c r="AS21" s="260">
        <f t="shared" si="2"/>
        <v>0.15</v>
      </c>
      <c r="AT21" s="260">
        <f t="shared" si="3"/>
        <v>0.15</v>
      </c>
      <c r="AU21" s="260">
        <f t="shared" si="4"/>
        <v>0.15</v>
      </c>
      <c r="AV21" s="260">
        <f t="shared" si="5"/>
        <v>0.15</v>
      </c>
      <c r="AW21" s="260">
        <f t="shared" si="6"/>
        <v>0.15</v>
      </c>
      <c r="AX21" s="260">
        <f t="shared" si="7"/>
        <v>0.15</v>
      </c>
      <c r="AY21" s="256">
        <f t="shared" si="23"/>
        <v>11220.767999999998</v>
      </c>
      <c r="AZ21" s="256">
        <f t="shared" si="24"/>
        <v>8415.5759999999991</v>
      </c>
      <c r="BA21" s="256">
        <f t="shared" si="25"/>
        <v>11557.39104</v>
      </c>
      <c r="BB21" s="256">
        <f t="shared" si="26"/>
        <v>11904.1127712</v>
      </c>
      <c r="BC21" s="256">
        <f t="shared" si="27"/>
        <v>12261.236154336</v>
      </c>
      <c r="BD21" s="256">
        <f t="shared" si="28"/>
        <v>12629.073238966081</v>
      </c>
      <c r="BE21" s="206">
        <f t="shared" si="29"/>
        <v>13761</v>
      </c>
      <c r="BF21" s="257">
        <f t="shared" si="9"/>
        <v>13761</v>
      </c>
      <c r="BG21" s="258">
        <f t="shared" si="30"/>
        <v>3440.25</v>
      </c>
      <c r="BH21" s="258">
        <f t="shared" si="30"/>
        <v>3440.25</v>
      </c>
      <c r="BI21" s="258">
        <f t="shared" si="30"/>
        <v>3440.25</v>
      </c>
      <c r="BJ21" s="258">
        <f t="shared" si="30"/>
        <v>3440.25</v>
      </c>
      <c r="BK21" s="260">
        <v>0.04</v>
      </c>
      <c r="BL21" s="256">
        <f>($BK$4*'Tab H'!K20)</f>
        <v>16623.36</v>
      </c>
      <c r="BM21" s="256">
        <f>($BK$4*'Tab H'!L20)</f>
        <v>12467.52</v>
      </c>
      <c r="BN21" s="256">
        <f>($BK$4*'Tab H'!M20)</f>
        <v>17122.060799999999</v>
      </c>
      <c r="BO21" s="256">
        <f>($BK$4*'Tab H'!N20)</f>
        <v>17635.722624000002</v>
      </c>
      <c r="BP21" s="256">
        <f>($BK$4*'Tab H'!O20)</f>
        <v>18164.794302720002</v>
      </c>
      <c r="BQ21" s="256">
        <f>($BK$4*'Tab H'!P20)</f>
        <v>18709.738131801601</v>
      </c>
      <c r="BR21" s="256">
        <f t="shared" si="31"/>
        <v>19415</v>
      </c>
      <c r="BS21" s="257">
        <f>ROUND($BK$4*'Tab H'!R20,0)</f>
        <v>19415</v>
      </c>
      <c r="BT21" s="258">
        <f t="shared" si="32"/>
        <v>4853.75</v>
      </c>
      <c r="BU21" s="258">
        <f t="shared" si="32"/>
        <v>4853.75</v>
      </c>
      <c r="BV21" s="258">
        <f t="shared" si="32"/>
        <v>4853.75</v>
      </c>
      <c r="BW21" s="258">
        <f t="shared" si="32"/>
        <v>4853.75</v>
      </c>
      <c r="BX21" s="255">
        <v>0.04</v>
      </c>
      <c r="BY21" s="447">
        <f>ROUND($BX$4*'Tab H'!K20,0)</f>
        <v>16623</v>
      </c>
      <c r="BZ21" s="493">
        <f>ROUND($BX$4*'Tab H'!L20,0)</f>
        <v>12468</v>
      </c>
      <c r="CA21" s="447">
        <f>ROUND($BX$4*'Tab H'!M20,0)</f>
        <v>17122</v>
      </c>
      <c r="CB21" s="447">
        <f>ROUND($BX$4*'Tab H'!N20,0)</f>
        <v>17636</v>
      </c>
      <c r="CC21" s="447">
        <f>ROUND($BX$4*'Tab H'!O20,0)</f>
        <v>18165</v>
      </c>
      <c r="CD21" s="447">
        <f>ROUND($BX$4*'Tab H'!P20,0)</f>
        <v>18710</v>
      </c>
      <c r="CE21" s="447">
        <f>ROUND($BX$4*'Tab H'!Q20,0)</f>
        <v>19415</v>
      </c>
      <c r="CF21" s="260">
        <v>0.21</v>
      </c>
      <c r="CG21" s="256">
        <f>($CF$4*'Tab H'!K20)</f>
        <v>87272.639999999999</v>
      </c>
      <c r="CH21" s="256">
        <f>($CF$4*'Tab H'!L20)</f>
        <v>65454.479999999996</v>
      </c>
      <c r="CI21" s="256">
        <f>($CF$4*'Tab H'!M20)</f>
        <v>89890.819199999998</v>
      </c>
      <c r="CJ21" s="256">
        <f>($CF$4*'Tab H'!N20)</f>
        <v>92587.543776000006</v>
      </c>
      <c r="CK21" s="256">
        <f>($CF$4*'Tab H'!O20)</f>
        <v>95365.17008928</v>
      </c>
      <c r="CL21" s="256">
        <f>($CF$4*'Tab H'!P20)</f>
        <v>98226.125191958403</v>
      </c>
      <c r="CM21" s="206">
        <f>ROUND($CF$4*'Tab H'!Q20,0)</f>
        <v>101931</v>
      </c>
      <c r="CN21" s="257">
        <f>ROUND($CF$4*'Tab H'!R20,0)</f>
        <v>101931</v>
      </c>
      <c r="CO21" s="258">
        <f t="shared" si="33"/>
        <v>25482.75</v>
      </c>
      <c r="CP21" s="258">
        <f t="shared" si="33"/>
        <v>25482.75</v>
      </c>
      <c r="CQ21" s="258">
        <f t="shared" si="33"/>
        <v>25482.75</v>
      </c>
      <c r="CR21" s="258">
        <f t="shared" si="33"/>
        <v>25482.75</v>
      </c>
      <c r="CS21" s="206">
        <v>8.0000000000000002E-3</v>
      </c>
      <c r="CT21" s="206">
        <v>8.0000000000000002E-3</v>
      </c>
      <c r="CU21" s="206">
        <v>8.0000000000000002E-3</v>
      </c>
      <c r="CV21" s="206">
        <v>8.0000000000000002E-3</v>
      </c>
      <c r="CW21" s="206">
        <v>8.0000000000000002E-3</v>
      </c>
      <c r="CX21" s="206">
        <v>8.0000000000000002E-3</v>
      </c>
      <c r="CY21" s="206">
        <v>8.0000000000000002E-3</v>
      </c>
      <c r="CZ21" s="259">
        <f t="shared" si="13"/>
        <v>8.0000000000000002E-3</v>
      </c>
      <c r="DA21" s="259">
        <f t="shared" si="14"/>
        <v>8.0000000000000002E-3</v>
      </c>
      <c r="DB21" s="259">
        <f t="shared" si="15"/>
        <v>8.0000000000000002E-3</v>
      </c>
      <c r="DC21" s="259">
        <f t="shared" si="16"/>
        <v>8.0000000000000002E-3</v>
      </c>
      <c r="DD21" s="259">
        <f t="shared" si="17"/>
        <v>8.0000000000000002E-3</v>
      </c>
      <c r="DE21" s="259">
        <f t="shared" si="18"/>
        <v>8.0000000000000002E-3</v>
      </c>
      <c r="DF21" s="256">
        <f t="shared" si="34"/>
        <v>698.18111999999996</v>
      </c>
      <c r="DG21" s="256">
        <f t="shared" si="35"/>
        <v>523.63584000000003</v>
      </c>
      <c r="DH21" s="256">
        <f t="shared" si="36"/>
        <v>719.12655359999997</v>
      </c>
      <c r="DI21" s="256">
        <f t="shared" si="37"/>
        <v>740.70035020800003</v>
      </c>
      <c r="DJ21" s="256">
        <f t="shared" si="38"/>
        <v>762.92136071424</v>
      </c>
      <c r="DK21" s="256">
        <f t="shared" si="39"/>
        <v>785.80900153566722</v>
      </c>
      <c r="DL21" s="206">
        <f t="shared" si="40"/>
        <v>815</v>
      </c>
      <c r="DM21" s="257">
        <f t="shared" si="20"/>
        <v>815</v>
      </c>
      <c r="DN21" s="258">
        <f t="shared" si="41"/>
        <v>203.75</v>
      </c>
      <c r="DO21" s="258">
        <f t="shared" si="41"/>
        <v>203.75</v>
      </c>
      <c r="DP21" s="258">
        <f t="shared" si="41"/>
        <v>203.75</v>
      </c>
      <c r="DQ21" s="258">
        <f t="shared" si="41"/>
        <v>203.75</v>
      </c>
    </row>
    <row r="22" spans="1:121" x14ac:dyDescent="0.3">
      <c r="A22" s="750"/>
      <c r="B22" s="205" t="s">
        <v>151</v>
      </c>
      <c r="C22" s="206">
        <v>17</v>
      </c>
      <c r="D22" s="255">
        <v>3.49E-2</v>
      </c>
      <c r="E22" s="256">
        <f>($D$4*'Tab H'!K21)</f>
        <v>8041.2741000000005</v>
      </c>
      <c r="F22" s="256">
        <f>($D$4*'Tab H'!L21)</f>
        <v>6030.955575</v>
      </c>
      <c r="G22" s="256">
        <f>($D$4*'Tab H'!M21)</f>
        <v>8282.5123230000008</v>
      </c>
      <c r="H22" s="256">
        <f>($D$4*'Tab H'!N21)</f>
        <v>8530.9876926900015</v>
      </c>
      <c r="I22" s="256">
        <f>($D$4*'Tab H'!O21)</f>
        <v>8786.9173234707014</v>
      </c>
      <c r="J22" s="256">
        <f>($D$4*'Tab H'!P21)</f>
        <v>9050.5248431748223</v>
      </c>
      <c r="K22" s="206">
        <f>ROUND($D$4*'Tab H'!Q21,0)</f>
        <v>9392</v>
      </c>
      <c r="L22" s="257">
        <f>ROUND($D$4*'Tab H'!R21,0)</f>
        <v>9392</v>
      </c>
      <c r="M22" s="258">
        <f t="shared" si="0"/>
        <v>2348</v>
      </c>
      <c r="N22" s="258">
        <f t="shared" si="0"/>
        <v>2348</v>
      </c>
      <c r="O22" s="258">
        <f t="shared" si="0"/>
        <v>2348</v>
      </c>
      <c r="P22" s="258">
        <f t="shared" si="0"/>
        <v>2348</v>
      </c>
      <c r="Q22" s="255">
        <v>3.49E-2</v>
      </c>
      <c r="R22" s="447">
        <f>ROUND($D$4*'Tab H'!K21,0)</f>
        <v>8041</v>
      </c>
      <c r="S22" s="493">
        <f>ROUND($D$4*'Tab H'!L21,0)</f>
        <v>6031</v>
      </c>
      <c r="T22" s="447">
        <f>ROUND($D$4*'Tab H'!M21,0)</f>
        <v>8283</v>
      </c>
      <c r="U22" s="447">
        <f>ROUND($D$4*'Tab H'!N21,0)</f>
        <v>8531</v>
      </c>
      <c r="V22" s="447">
        <f>ROUND($D$4*'Tab H'!O21,0)</f>
        <v>8787</v>
      </c>
      <c r="W22" s="447">
        <f>ROUND($D$4*'Tab H'!P21,0)</f>
        <v>9051</v>
      </c>
      <c r="X22" s="447">
        <f>ROUND($D$4*'Tab H'!Q21,0)</f>
        <v>9392</v>
      </c>
      <c r="Y22" s="259">
        <v>0.189</v>
      </c>
      <c r="Z22" s="256">
        <f>(0.18*'Tab H'!K21)</f>
        <v>41473.619999999995</v>
      </c>
      <c r="AA22" s="256">
        <f>(0.18*'Tab H'!L21)</f>
        <v>31105.215</v>
      </c>
      <c r="AB22" s="256">
        <f>(0.18*'Tab H'!M21)</f>
        <v>42717.828600000001</v>
      </c>
      <c r="AC22" s="256">
        <f>(0.18*'Tab H'!N21)</f>
        <v>43999.363458000007</v>
      </c>
      <c r="AD22" s="256">
        <f>(0.18*'Tab H'!O21)</f>
        <v>45319.344361740004</v>
      </c>
      <c r="AE22" s="256">
        <f>(0.18*'Tab H'!P21)</f>
        <v>46678.924692592205</v>
      </c>
      <c r="AF22" s="206">
        <f>ROUND($Y$4*'Tab H'!Q21,0)</f>
        <v>50861</v>
      </c>
      <c r="AG22" s="257">
        <f>ROUND($Y$4*'Tab H'!R21,0)</f>
        <v>50861</v>
      </c>
      <c r="AH22" s="258">
        <f t="shared" si="22"/>
        <v>12715.25</v>
      </c>
      <c r="AI22" s="258">
        <f t="shared" si="22"/>
        <v>12715.25</v>
      </c>
      <c r="AJ22" s="258">
        <f t="shared" si="22"/>
        <v>12715.25</v>
      </c>
      <c r="AK22" s="258">
        <f t="shared" si="22"/>
        <v>12715.25</v>
      </c>
      <c r="AL22" s="206">
        <v>0.15</v>
      </c>
      <c r="AM22" s="206">
        <v>0.15</v>
      </c>
      <c r="AN22" s="206">
        <v>0.15</v>
      </c>
      <c r="AO22" s="206">
        <v>0.15</v>
      </c>
      <c r="AP22" s="206">
        <v>0.15</v>
      </c>
      <c r="AQ22" s="206">
        <v>0.15</v>
      </c>
      <c r="AR22" s="206">
        <v>0.15</v>
      </c>
      <c r="AS22" s="260">
        <f t="shared" si="2"/>
        <v>0.15</v>
      </c>
      <c r="AT22" s="260">
        <f t="shared" si="3"/>
        <v>0.15</v>
      </c>
      <c r="AU22" s="260">
        <f t="shared" si="4"/>
        <v>0.15</v>
      </c>
      <c r="AV22" s="260">
        <f t="shared" si="5"/>
        <v>0.15</v>
      </c>
      <c r="AW22" s="260">
        <f t="shared" si="6"/>
        <v>0.15</v>
      </c>
      <c r="AX22" s="260">
        <f t="shared" si="7"/>
        <v>0.15</v>
      </c>
      <c r="AY22" s="256">
        <f t="shared" si="23"/>
        <v>6221.0429999999988</v>
      </c>
      <c r="AZ22" s="256">
        <f t="shared" si="24"/>
        <v>4665.7822500000002</v>
      </c>
      <c r="BA22" s="256">
        <f t="shared" si="25"/>
        <v>6407.6742899999999</v>
      </c>
      <c r="BB22" s="256">
        <f t="shared" si="26"/>
        <v>6599.9045187000011</v>
      </c>
      <c r="BC22" s="256">
        <f t="shared" si="27"/>
        <v>6797.9016542610007</v>
      </c>
      <c r="BD22" s="256">
        <f t="shared" si="28"/>
        <v>7001.8387038888304</v>
      </c>
      <c r="BE22" s="206">
        <f t="shared" si="29"/>
        <v>7629</v>
      </c>
      <c r="BF22" s="257">
        <f t="shared" si="9"/>
        <v>7629</v>
      </c>
      <c r="BG22" s="258">
        <f t="shared" si="30"/>
        <v>1907.25</v>
      </c>
      <c r="BH22" s="258">
        <f t="shared" si="30"/>
        <v>1907.25</v>
      </c>
      <c r="BI22" s="258">
        <f t="shared" si="30"/>
        <v>1907.25</v>
      </c>
      <c r="BJ22" s="258">
        <f t="shared" si="30"/>
        <v>1907.25</v>
      </c>
      <c r="BK22" s="260">
        <v>0.04</v>
      </c>
      <c r="BL22" s="256">
        <f>($BK$4*'Tab H'!K21)</f>
        <v>9216.36</v>
      </c>
      <c r="BM22" s="256">
        <f>($BK$4*'Tab H'!L21)</f>
        <v>6912.27</v>
      </c>
      <c r="BN22" s="256">
        <f>($BK$4*'Tab H'!M21)</f>
        <v>9492.8508000000002</v>
      </c>
      <c r="BO22" s="256">
        <f>($BK$4*'Tab H'!N21)</f>
        <v>9777.636324000001</v>
      </c>
      <c r="BP22" s="256">
        <f>($BK$4*'Tab H'!O21)</f>
        <v>10070.965413720001</v>
      </c>
      <c r="BQ22" s="256">
        <f>($BK$4*'Tab H'!P21)</f>
        <v>10373.094376131601</v>
      </c>
      <c r="BR22" s="256">
        <f t="shared" si="31"/>
        <v>10764</v>
      </c>
      <c r="BS22" s="257">
        <f>ROUND($BK$4*'Tab H'!R21,0)</f>
        <v>10764</v>
      </c>
      <c r="BT22" s="258">
        <f t="shared" si="32"/>
        <v>2691</v>
      </c>
      <c r="BU22" s="258">
        <f t="shared" si="32"/>
        <v>2691</v>
      </c>
      <c r="BV22" s="258">
        <f t="shared" si="32"/>
        <v>2691</v>
      </c>
      <c r="BW22" s="258">
        <f t="shared" si="32"/>
        <v>2691</v>
      </c>
      <c r="BX22" s="255">
        <v>0.04</v>
      </c>
      <c r="BY22" s="447">
        <f>ROUND($BX$4*'Tab H'!K21,0)</f>
        <v>9216</v>
      </c>
      <c r="BZ22" s="493">
        <f>ROUND($BX$4*'Tab H'!L21,0)</f>
        <v>6912</v>
      </c>
      <c r="CA22" s="447">
        <f>ROUND($BX$4*'Tab H'!M21,0)</f>
        <v>9493</v>
      </c>
      <c r="CB22" s="447">
        <f>ROUND($BX$4*'Tab H'!N21,0)</f>
        <v>9778</v>
      </c>
      <c r="CC22" s="447">
        <f>ROUND($BX$4*'Tab H'!O21,0)</f>
        <v>10071</v>
      </c>
      <c r="CD22" s="447">
        <f>ROUND($BX$4*'Tab H'!P21,0)</f>
        <v>10373</v>
      </c>
      <c r="CE22" s="447">
        <f>ROUND($BX$4*'Tab H'!Q21,0)</f>
        <v>10764</v>
      </c>
      <c r="CF22" s="260">
        <v>0.21</v>
      </c>
      <c r="CG22" s="256">
        <f>($CF$4*'Tab H'!K21)</f>
        <v>48385.89</v>
      </c>
      <c r="CH22" s="256">
        <f>($CF$4*'Tab H'!L21)</f>
        <v>36289.417499999996</v>
      </c>
      <c r="CI22" s="256">
        <f>($CF$4*'Tab H'!M21)</f>
        <v>49837.466700000004</v>
      </c>
      <c r="CJ22" s="256">
        <f>($CF$4*'Tab H'!N21)</f>
        <v>51332.590701000001</v>
      </c>
      <c r="CK22" s="256">
        <f>($CF$4*'Tab H'!O21)</f>
        <v>52872.568422030003</v>
      </c>
      <c r="CL22" s="256">
        <f>($CF$4*'Tab H'!P21)</f>
        <v>54458.745474690906</v>
      </c>
      <c r="CM22" s="206">
        <f>ROUND($CF$4*'Tab H'!Q21,0)</f>
        <v>56512</v>
      </c>
      <c r="CN22" s="257">
        <f>ROUND($CF$4*'Tab H'!R21,0)</f>
        <v>56512</v>
      </c>
      <c r="CO22" s="258">
        <f t="shared" si="33"/>
        <v>14128</v>
      </c>
      <c r="CP22" s="258">
        <f t="shared" si="33"/>
        <v>14128</v>
      </c>
      <c r="CQ22" s="258">
        <f t="shared" si="33"/>
        <v>14128</v>
      </c>
      <c r="CR22" s="258">
        <f t="shared" si="33"/>
        <v>14128</v>
      </c>
      <c r="CS22" s="206">
        <v>8.0000000000000002E-3</v>
      </c>
      <c r="CT22" s="206">
        <v>8.0000000000000002E-3</v>
      </c>
      <c r="CU22" s="206">
        <v>8.0000000000000002E-3</v>
      </c>
      <c r="CV22" s="206">
        <v>8.0000000000000002E-3</v>
      </c>
      <c r="CW22" s="206">
        <v>8.0000000000000002E-3</v>
      </c>
      <c r="CX22" s="206">
        <v>8.0000000000000002E-3</v>
      </c>
      <c r="CY22" s="206">
        <v>8.0000000000000002E-3</v>
      </c>
      <c r="CZ22" s="259">
        <f t="shared" si="13"/>
        <v>8.0000000000000002E-3</v>
      </c>
      <c r="DA22" s="259">
        <f t="shared" si="14"/>
        <v>8.0000000000000002E-3</v>
      </c>
      <c r="DB22" s="259">
        <f t="shared" si="15"/>
        <v>8.0000000000000002E-3</v>
      </c>
      <c r="DC22" s="259">
        <f t="shared" si="16"/>
        <v>8.0000000000000002E-3</v>
      </c>
      <c r="DD22" s="259">
        <f t="shared" si="17"/>
        <v>8.0000000000000002E-3</v>
      </c>
      <c r="DE22" s="259">
        <f t="shared" si="18"/>
        <v>8.0000000000000002E-3</v>
      </c>
      <c r="DF22" s="256">
        <f t="shared" si="34"/>
        <v>387.08712000000003</v>
      </c>
      <c r="DG22" s="256">
        <f t="shared" si="35"/>
        <v>290.31533999999999</v>
      </c>
      <c r="DH22" s="256">
        <f t="shared" si="36"/>
        <v>398.69973360000006</v>
      </c>
      <c r="DI22" s="256">
        <f t="shared" si="37"/>
        <v>410.66072560800001</v>
      </c>
      <c r="DJ22" s="256">
        <f t="shared" si="38"/>
        <v>422.98054737624005</v>
      </c>
      <c r="DK22" s="256">
        <f t="shared" si="39"/>
        <v>435.66996379752726</v>
      </c>
      <c r="DL22" s="206">
        <f t="shared" si="40"/>
        <v>452</v>
      </c>
      <c r="DM22" s="257">
        <f t="shared" si="20"/>
        <v>452</v>
      </c>
      <c r="DN22" s="258">
        <f t="shared" si="41"/>
        <v>113</v>
      </c>
      <c r="DO22" s="258">
        <f t="shared" si="41"/>
        <v>113</v>
      </c>
      <c r="DP22" s="258">
        <f t="shared" si="41"/>
        <v>113</v>
      </c>
      <c r="DQ22" s="258">
        <f t="shared" si="41"/>
        <v>113</v>
      </c>
    </row>
    <row r="23" spans="1:121" x14ac:dyDescent="0.3">
      <c r="A23" s="750"/>
      <c r="B23" s="205" t="s">
        <v>152</v>
      </c>
      <c r="C23" s="206">
        <v>28</v>
      </c>
      <c r="D23" s="255">
        <v>3.49E-2</v>
      </c>
      <c r="E23" s="256">
        <f>($D$4*'Tab H'!K22)</f>
        <v>8109.0150000000003</v>
      </c>
      <c r="F23" s="256">
        <f>($D$4*'Tab H'!L22)</f>
        <v>6081.7612500000005</v>
      </c>
      <c r="G23" s="256">
        <f>($D$4*'Tab H'!M22)</f>
        <v>8352.2854499999994</v>
      </c>
      <c r="H23" s="256">
        <f>($D$4*'Tab H'!N22)</f>
        <v>8602.8540135000003</v>
      </c>
      <c r="I23" s="256">
        <f>($D$4*'Tab H'!O22)</f>
        <v>8860.9396339050018</v>
      </c>
      <c r="J23" s="256">
        <f>($D$4*'Tab H'!P22)</f>
        <v>9126.767822922151</v>
      </c>
      <c r="K23" s="206">
        <f>ROUND($D$4*'Tab H'!Q22,0)</f>
        <v>9471</v>
      </c>
      <c r="L23" s="257">
        <f>ROUND($D$4*'Tab H'!R22,0)</f>
        <v>9471</v>
      </c>
      <c r="M23" s="258">
        <f t="shared" si="0"/>
        <v>2367.75</v>
      </c>
      <c r="N23" s="258">
        <f t="shared" si="0"/>
        <v>2367.75</v>
      </c>
      <c r="O23" s="258">
        <f t="shared" si="0"/>
        <v>2367.75</v>
      </c>
      <c r="P23" s="258">
        <f t="shared" si="0"/>
        <v>2367.75</v>
      </c>
      <c r="Q23" s="255">
        <v>3.49E-2</v>
      </c>
      <c r="R23" s="447">
        <f>ROUND($D$4*'Tab H'!K22,0)</f>
        <v>8109</v>
      </c>
      <c r="S23" s="493">
        <f>ROUND($D$4*'Tab H'!L22,0)</f>
        <v>6082</v>
      </c>
      <c r="T23" s="447">
        <f>ROUND($D$4*'Tab H'!M22,0)</f>
        <v>8352</v>
      </c>
      <c r="U23" s="447">
        <f>ROUND($D$4*'Tab H'!N22,0)</f>
        <v>8603</v>
      </c>
      <c r="V23" s="447">
        <f>ROUND($D$4*'Tab H'!O22,0)</f>
        <v>8861</v>
      </c>
      <c r="W23" s="447">
        <f>ROUND($D$4*'Tab H'!P22,0)</f>
        <v>9127</v>
      </c>
      <c r="X23" s="447">
        <f>ROUND($D$4*'Tab H'!Q22,0)</f>
        <v>9471</v>
      </c>
      <c r="Y23" s="259">
        <v>0.189</v>
      </c>
      <c r="Z23" s="256">
        <f>(0.18*'Tab H'!K22)</f>
        <v>41823</v>
      </c>
      <c r="AA23" s="256">
        <f>(0.18*'Tab H'!L22)</f>
        <v>31367.25</v>
      </c>
      <c r="AB23" s="256">
        <f>(0.18*'Tab H'!M22)</f>
        <v>43077.689999999995</v>
      </c>
      <c r="AC23" s="256">
        <f>(0.18*'Tab H'!N22)</f>
        <v>44370.020700000001</v>
      </c>
      <c r="AD23" s="256">
        <f>(0.18*'Tab H'!O22)</f>
        <v>45701.121321000006</v>
      </c>
      <c r="AE23" s="256">
        <f>(0.18*'Tab H'!P22)</f>
        <v>47072.154960630003</v>
      </c>
      <c r="AF23" s="206">
        <f>ROUND($Y$4*'Tab H'!Q22,0)</f>
        <v>51290</v>
      </c>
      <c r="AG23" s="257">
        <f>ROUND($Y$4*'Tab H'!R22,0)</f>
        <v>51290</v>
      </c>
      <c r="AH23" s="258">
        <f t="shared" si="22"/>
        <v>12822.5</v>
      </c>
      <c r="AI23" s="258">
        <f t="shared" si="22"/>
        <v>12822.5</v>
      </c>
      <c r="AJ23" s="258">
        <f t="shared" si="22"/>
        <v>12822.5</v>
      </c>
      <c r="AK23" s="258">
        <f t="shared" si="22"/>
        <v>12822.5</v>
      </c>
      <c r="AL23" s="206">
        <v>0.15</v>
      </c>
      <c r="AM23" s="206">
        <v>0.15</v>
      </c>
      <c r="AN23" s="206">
        <v>0.15</v>
      </c>
      <c r="AO23" s="206">
        <v>0.15</v>
      </c>
      <c r="AP23" s="206">
        <v>0.15</v>
      </c>
      <c r="AQ23" s="206">
        <v>0.15</v>
      </c>
      <c r="AR23" s="206">
        <v>0.15</v>
      </c>
      <c r="AS23" s="260">
        <f t="shared" si="2"/>
        <v>0.15</v>
      </c>
      <c r="AT23" s="260">
        <f t="shared" si="3"/>
        <v>0.15</v>
      </c>
      <c r="AU23" s="260">
        <f t="shared" si="4"/>
        <v>0.15</v>
      </c>
      <c r="AV23" s="260">
        <f t="shared" si="5"/>
        <v>0.15</v>
      </c>
      <c r="AW23" s="260">
        <f t="shared" si="6"/>
        <v>0.15</v>
      </c>
      <c r="AX23" s="260">
        <f t="shared" si="7"/>
        <v>0.15</v>
      </c>
      <c r="AY23" s="256">
        <f t="shared" si="23"/>
        <v>6273.45</v>
      </c>
      <c r="AZ23" s="256">
        <f t="shared" si="24"/>
        <v>4705.0874999999996</v>
      </c>
      <c r="BA23" s="256">
        <f t="shared" si="25"/>
        <v>6461.6534999999994</v>
      </c>
      <c r="BB23" s="256">
        <f t="shared" si="26"/>
        <v>6655.5031049999998</v>
      </c>
      <c r="BC23" s="256">
        <f t="shared" si="27"/>
        <v>6855.1681981500005</v>
      </c>
      <c r="BD23" s="256">
        <f t="shared" si="28"/>
        <v>7060.8232440945003</v>
      </c>
      <c r="BE23" s="206">
        <f t="shared" si="29"/>
        <v>7694</v>
      </c>
      <c r="BF23" s="257">
        <f t="shared" si="9"/>
        <v>7694</v>
      </c>
      <c r="BG23" s="258">
        <f t="shared" si="30"/>
        <v>1923.5</v>
      </c>
      <c r="BH23" s="258">
        <f t="shared" si="30"/>
        <v>1923.5</v>
      </c>
      <c r="BI23" s="258">
        <f t="shared" si="30"/>
        <v>1923.5</v>
      </c>
      <c r="BJ23" s="258">
        <f t="shared" si="30"/>
        <v>1923.5</v>
      </c>
      <c r="BK23" s="260">
        <v>0.04</v>
      </c>
      <c r="BL23" s="256">
        <f>($BK$4*'Tab H'!K22)</f>
        <v>9294</v>
      </c>
      <c r="BM23" s="256">
        <f>($BK$4*'Tab H'!L22)</f>
        <v>6970.5</v>
      </c>
      <c r="BN23" s="256">
        <f>($BK$4*'Tab H'!M22)</f>
        <v>9572.82</v>
      </c>
      <c r="BO23" s="256">
        <f>($BK$4*'Tab H'!N22)</f>
        <v>9860.0046000000002</v>
      </c>
      <c r="BP23" s="256">
        <f>($BK$4*'Tab H'!O22)</f>
        <v>10155.804738000003</v>
      </c>
      <c r="BQ23" s="256">
        <f>($BK$4*'Tab H'!P22)</f>
        <v>10460.478880140001</v>
      </c>
      <c r="BR23" s="256">
        <f t="shared" si="31"/>
        <v>10855</v>
      </c>
      <c r="BS23" s="257">
        <f>ROUND($BK$4*'Tab H'!R22,0)</f>
        <v>10855</v>
      </c>
      <c r="BT23" s="258">
        <f t="shared" si="32"/>
        <v>2713.75</v>
      </c>
      <c r="BU23" s="258">
        <f t="shared" si="32"/>
        <v>2713.75</v>
      </c>
      <c r="BV23" s="258">
        <f t="shared" si="32"/>
        <v>2713.75</v>
      </c>
      <c r="BW23" s="258">
        <f t="shared" si="32"/>
        <v>2713.75</v>
      </c>
      <c r="BX23" s="255">
        <v>0.04</v>
      </c>
      <c r="BY23" s="447">
        <f>ROUND($BX$4*'Tab H'!K22,0)</f>
        <v>9294</v>
      </c>
      <c r="BZ23" s="493">
        <f>ROUND($BX$4*'Tab H'!L22,0)</f>
        <v>6971</v>
      </c>
      <c r="CA23" s="447">
        <f>ROUND($BX$4*'Tab H'!M22,0)</f>
        <v>9573</v>
      </c>
      <c r="CB23" s="447">
        <f>ROUND($BX$4*'Tab H'!N22,0)</f>
        <v>9860</v>
      </c>
      <c r="CC23" s="447">
        <f>ROUND($BX$4*'Tab H'!O22,0)</f>
        <v>10156</v>
      </c>
      <c r="CD23" s="447">
        <f>ROUND($BX$4*'Tab H'!P22,0)</f>
        <v>10460</v>
      </c>
      <c r="CE23" s="447">
        <f>ROUND($BX$4*'Tab H'!Q22,0)</f>
        <v>10855</v>
      </c>
      <c r="CF23" s="260">
        <v>0.21</v>
      </c>
      <c r="CG23" s="256">
        <f>($CF$4*'Tab H'!K22)</f>
        <v>48793.5</v>
      </c>
      <c r="CH23" s="256">
        <f>($CF$4*'Tab H'!L22)</f>
        <v>36595.125</v>
      </c>
      <c r="CI23" s="256">
        <f>($CF$4*'Tab H'!M22)</f>
        <v>50257.305</v>
      </c>
      <c r="CJ23" s="256">
        <f>($CF$4*'Tab H'!N22)</f>
        <v>51765.024150000005</v>
      </c>
      <c r="CK23" s="256">
        <f>($CF$4*'Tab H'!O22)</f>
        <v>53317.974874500003</v>
      </c>
      <c r="CL23" s="256">
        <f>($CF$4*'Tab H'!P22)</f>
        <v>54917.514120735003</v>
      </c>
      <c r="CM23" s="206">
        <f>ROUND($CF$4*'Tab H'!Q22,0)</f>
        <v>56989</v>
      </c>
      <c r="CN23" s="257">
        <f>ROUND($CF$4*'Tab H'!R22,0)</f>
        <v>56989</v>
      </c>
      <c r="CO23" s="258">
        <f t="shared" si="33"/>
        <v>14247.25</v>
      </c>
      <c r="CP23" s="258">
        <f t="shared" si="33"/>
        <v>14247.25</v>
      </c>
      <c r="CQ23" s="258">
        <f t="shared" si="33"/>
        <v>14247.25</v>
      </c>
      <c r="CR23" s="258">
        <f t="shared" si="33"/>
        <v>14247.25</v>
      </c>
      <c r="CS23" s="206">
        <v>8.0000000000000002E-3</v>
      </c>
      <c r="CT23" s="206">
        <v>8.0000000000000002E-3</v>
      </c>
      <c r="CU23" s="206">
        <v>8.0000000000000002E-3</v>
      </c>
      <c r="CV23" s="206">
        <v>8.0000000000000002E-3</v>
      </c>
      <c r="CW23" s="206">
        <v>8.0000000000000002E-3</v>
      </c>
      <c r="CX23" s="206">
        <v>8.0000000000000002E-3</v>
      </c>
      <c r="CY23" s="206">
        <v>8.0000000000000002E-3</v>
      </c>
      <c r="CZ23" s="259">
        <f t="shared" si="13"/>
        <v>8.0000000000000002E-3</v>
      </c>
      <c r="DA23" s="259">
        <f t="shared" si="14"/>
        <v>8.0000000000000002E-3</v>
      </c>
      <c r="DB23" s="259">
        <f t="shared" si="15"/>
        <v>8.0000000000000002E-3</v>
      </c>
      <c r="DC23" s="259">
        <f t="shared" si="16"/>
        <v>8.0000000000000002E-3</v>
      </c>
      <c r="DD23" s="259">
        <f t="shared" si="17"/>
        <v>8.0000000000000002E-3</v>
      </c>
      <c r="DE23" s="259">
        <f t="shared" si="18"/>
        <v>8.0000000000000002E-3</v>
      </c>
      <c r="DF23" s="256">
        <f t="shared" si="34"/>
        <v>390.34800000000001</v>
      </c>
      <c r="DG23" s="256">
        <f t="shared" si="35"/>
        <v>292.76100000000002</v>
      </c>
      <c r="DH23" s="256">
        <f t="shared" si="36"/>
        <v>402.05844000000002</v>
      </c>
      <c r="DI23" s="256">
        <f t="shared" si="37"/>
        <v>414.12019320000007</v>
      </c>
      <c r="DJ23" s="256">
        <f t="shared" si="38"/>
        <v>426.54379899600002</v>
      </c>
      <c r="DK23" s="256">
        <f t="shared" si="39"/>
        <v>439.34011296588005</v>
      </c>
      <c r="DL23" s="206">
        <f t="shared" si="40"/>
        <v>456</v>
      </c>
      <c r="DM23" s="257">
        <f t="shared" si="20"/>
        <v>456</v>
      </c>
      <c r="DN23" s="258">
        <f t="shared" si="41"/>
        <v>114</v>
      </c>
      <c r="DO23" s="258">
        <f t="shared" si="41"/>
        <v>114</v>
      </c>
      <c r="DP23" s="258">
        <f t="shared" si="41"/>
        <v>114</v>
      </c>
      <c r="DQ23" s="258">
        <f t="shared" si="41"/>
        <v>114</v>
      </c>
    </row>
    <row r="24" spans="1:121" x14ac:dyDescent="0.3">
      <c r="A24" s="750"/>
      <c r="B24" s="205" t="s">
        <v>153</v>
      </c>
      <c r="C24" s="206">
        <v>26</v>
      </c>
      <c r="D24" s="255">
        <v>3.49E-2</v>
      </c>
      <c r="E24" s="256">
        <f>($D$4*'Tab H'!K23)</f>
        <v>8091.2857999999997</v>
      </c>
      <c r="F24" s="256">
        <f>($D$4*'Tab H'!L23)</f>
        <v>6068.4643500000002</v>
      </c>
      <c r="G24" s="256">
        <f>($D$4*'Tab H'!M23)</f>
        <v>8334.0243740000005</v>
      </c>
      <c r="H24" s="256">
        <f>($D$4*'Tab H'!N23)</f>
        <v>8584.0451052200006</v>
      </c>
      <c r="I24" s="256">
        <f>($D$4*'Tab H'!O23)</f>
        <v>8841.5664583766011</v>
      </c>
      <c r="J24" s="256">
        <f>($D$4*'Tab H'!P23)</f>
        <v>9106.8134521278989</v>
      </c>
      <c r="K24" s="206">
        <f>ROUND($D$4*'Tab H'!Q23,0)</f>
        <v>9450</v>
      </c>
      <c r="L24" s="257">
        <f>ROUND($D$4*'Tab H'!R23,0)</f>
        <v>9450</v>
      </c>
      <c r="M24" s="258">
        <f t="shared" ref="M24:P43" si="42">$L24/4</f>
        <v>2362.5</v>
      </c>
      <c r="N24" s="258">
        <f t="shared" si="42"/>
        <v>2362.5</v>
      </c>
      <c r="O24" s="258">
        <f t="shared" si="42"/>
        <v>2362.5</v>
      </c>
      <c r="P24" s="258">
        <f t="shared" si="42"/>
        <v>2362.5</v>
      </c>
      <c r="Q24" s="255">
        <v>3.49E-2</v>
      </c>
      <c r="S24" s="493"/>
      <c r="W24" s="447">
        <f>ROUND($D$4*'Tab H'!P23,0)</f>
        <v>9107</v>
      </c>
      <c r="X24" s="447">
        <f>ROUND($D$4*'Tab H'!Q23,0)</f>
        <v>9450</v>
      </c>
      <c r="Y24" s="259">
        <v>0.189</v>
      </c>
      <c r="Z24" s="256">
        <f>(0.18*'Tab H'!K23)</f>
        <v>41731.56</v>
      </c>
      <c r="AA24" s="256">
        <f>(0.18*'Tab H'!L23)</f>
        <v>31298.67</v>
      </c>
      <c r="AB24" s="256">
        <f>(0.18*'Tab H'!M23)</f>
        <v>42983.506800000003</v>
      </c>
      <c r="AC24" s="256">
        <f>(0.18*'Tab H'!N23)</f>
        <v>44273.012003999997</v>
      </c>
      <c r="AD24" s="256">
        <f>(0.18*'Tab H'!O23)</f>
        <v>45601.202364119999</v>
      </c>
      <c r="AE24" s="256">
        <f>(0.18*'Tab H'!P23)</f>
        <v>46969.238435043604</v>
      </c>
      <c r="AF24" s="206">
        <f>ROUND($Y$4*'Tab H'!Q23,0)</f>
        <v>51177</v>
      </c>
      <c r="AG24" s="257">
        <f>ROUND($Y$4*'Tab H'!R23,0)</f>
        <v>51177</v>
      </c>
      <c r="AH24" s="258">
        <f t="shared" si="22"/>
        <v>12794.25</v>
      </c>
      <c r="AI24" s="258">
        <f t="shared" si="22"/>
        <v>12794.25</v>
      </c>
      <c r="AJ24" s="258">
        <f t="shared" si="22"/>
        <v>12794.25</v>
      </c>
      <c r="AK24" s="258">
        <f t="shared" si="22"/>
        <v>12794.25</v>
      </c>
      <c r="AL24" s="206">
        <v>0.15</v>
      </c>
      <c r="AM24" s="206">
        <v>0.15</v>
      </c>
      <c r="AN24" s="206">
        <v>0.15</v>
      </c>
      <c r="AO24" s="206">
        <v>0.15</v>
      </c>
      <c r="AP24" s="206">
        <v>0.15</v>
      </c>
      <c r="AQ24" s="206">
        <v>0.15</v>
      </c>
      <c r="AR24" s="206">
        <v>0.15</v>
      </c>
      <c r="AS24" s="260">
        <f t="shared" si="2"/>
        <v>0.15</v>
      </c>
      <c r="AT24" s="260">
        <f t="shared" si="3"/>
        <v>0.15</v>
      </c>
      <c r="AU24" s="260">
        <f t="shared" si="4"/>
        <v>0.15</v>
      </c>
      <c r="AV24" s="260">
        <f t="shared" si="5"/>
        <v>0.15</v>
      </c>
      <c r="AW24" s="260">
        <f t="shared" si="6"/>
        <v>0.15</v>
      </c>
      <c r="AX24" s="260">
        <f t="shared" si="7"/>
        <v>0.15</v>
      </c>
      <c r="AY24" s="256">
        <f t="shared" si="23"/>
        <v>6259.7339999999995</v>
      </c>
      <c r="AZ24" s="256">
        <f t="shared" si="24"/>
        <v>4694.8004999999994</v>
      </c>
      <c r="BA24" s="256">
        <f t="shared" si="25"/>
        <v>6447.5260200000002</v>
      </c>
      <c r="BB24" s="256">
        <f t="shared" si="26"/>
        <v>6640.9518005999989</v>
      </c>
      <c r="BC24" s="256">
        <f t="shared" si="27"/>
        <v>6840.1803546179999</v>
      </c>
      <c r="BD24" s="256">
        <f t="shared" si="28"/>
        <v>7045.3857652565403</v>
      </c>
      <c r="BE24" s="206">
        <f t="shared" si="29"/>
        <v>7677</v>
      </c>
      <c r="BF24" s="257">
        <f t="shared" si="9"/>
        <v>7677</v>
      </c>
      <c r="BG24" s="258">
        <f t="shared" si="30"/>
        <v>1919.25</v>
      </c>
      <c r="BH24" s="258">
        <f t="shared" si="30"/>
        <v>1919.25</v>
      </c>
      <c r="BI24" s="258">
        <f t="shared" si="30"/>
        <v>1919.25</v>
      </c>
      <c r="BJ24" s="258">
        <f t="shared" si="30"/>
        <v>1919.25</v>
      </c>
      <c r="BK24" s="260">
        <v>0.04</v>
      </c>
      <c r="BL24" s="256">
        <f>($BK$4*'Tab H'!K23)</f>
        <v>9273.68</v>
      </c>
      <c r="BM24" s="256">
        <f>($BK$4*'Tab H'!L23)</f>
        <v>6955.26</v>
      </c>
      <c r="BN24" s="256">
        <f>($BK$4*'Tab H'!M23)</f>
        <v>9551.8904000000002</v>
      </c>
      <c r="BO24" s="256">
        <f>($BK$4*'Tab H'!N23)</f>
        <v>9838.4471119999998</v>
      </c>
      <c r="BP24" s="256">
        <f>($BK$4*'Tab H'!O23)</f>
        <v>10133.60052536</v>
      </c>
      <c r="BQ24" s="256">
        <f>($BK$4*'Tab H'!P23)</f>
        <v>10437.608541120801</v>
      </c>
      <c r="BR24" s="256">
        <f t="shared" si="31"/>
        <v>10831</v>
      </c>
      <c r="BS24" s="257">
        <f>ROUND($BK$4*'Tab H'!R23,0)</f>
        <v>10831</v>
      </c>
      <c r="BT24" s="258">
        <f t="shared" si="32"/>
        <v>2707.75</v>
      </c>
      <c r="BU24" s="258">
        <f t="shared" si="32"/>
        <v>2707.75</v>
      </c>
      <c r="BV24" s="258">
        <f t="shared" si="32"/>
        <v>2707.75</v>
      </c>
      <c r="BW24" s="258">
        <f t="shared" si="32"/>
        <v>2707.75</v>
      </c>
      <c r="BX24" s="255">
        <v>0.04</v>
      </c>
      <c r="BZ24" s="493"/>
      <c r="CD24" s="447">
        <f>ROUND($BX$4*'Tab H'!P23,0)</f>
        <v>10438</v>
      </c>
      <c r="CE24" s="447">
        <f>ROUND($BX$4*'Tab H'!Q23,0)</f>
        <v>10831</v>
      </c>
      <c r="CF24" s="260">
        <v>0.21</v>
      </c>
      <c r="CG24" s="256">
        <f>($CF$4*'Tab H'!K23)</f>
        <v>48686.82</v>
      </c>
      <c r="CH24" s="256">
        <f>($CF$4*'Tab H'!L23)</f>
        <v>36515.114999999998</v>
      </c>
      <c r="CI24" s="256">
        <f>($CF$4*'Tab H'!M23)</f>
        <v>50147.424599999998</v>
      </c>
      <c r="CJ24" s="256">
        <f>($CF$4*'Tab H'!N23)</f>
        <v>51651.847338</v>
      </c>
      <c r="CK24" s="256">
        <f>($CF$4*'Tab H'!O23)</f>
        <v>53201.402758140001</v>
      </c>
      <c r="CL24" s="256">
        <f>($CF$4*'Tab H'!P23)</f>
        <v>54797.4448408842</v>
      </c>
      <c r="CM24" s="206">
        <f>ROUND($CF$4*'Tab H'!Q23,0)</f>
        <v>56864</v>
      </c>
      <c r="CN24" s="257">
        <f>ROUND($CF$4*'Tab H'!R23,0)</f>
        <v>56864</v>
      </c>
      <c r="CO24" s="258">
        <f t="shared" si="33"/>
        <v>14216</v>
      </c>
      <c r="CP24" s="258">
        <f t="shared" si="33"/>
        <v>14216</v>
      </c>
      <c r="CQ24" s="258">
        <f t="shared" si="33"/>
        <v>14216</v>
      </c>
      <c r="CR24" s="258">
        <f t="shared" si="33"/>
        <v>14216</v>
      </c>
      <c r="CS24" s="206">
        <v>8.0000000000000002E-3</v>
      </c>
      <c r="CT24" s="206">
        <v>8.0000000000000002E-3</v>
      </c>
      <c r="CU24" s="206">
        <v>8.0000000000000002E-3</v>
      </c>
      <c r="CV24" s="206">
        <v>8.0000000000000002E-3</v>
      </c>
      <c r="CW24" s="206">
        <v>8.0000000000000002E-3</v>
      </c>
      <c r="CX24" s="206">
        <v>8.0000000000000002E-3</v>
      </c>
      <c r="CY24" s="206">
        <v>8.0000000000000002E-3</v>
      </c>
      <c r="CZ24" s="259">
        <f t="shared" si="13"/>
        <v>8.0000000000000002E-3</v>
      </c>
      <c r="DA24" s="259">
        <f t="shared" si="14"/>
        <v>8.0000000000000002E-3</v>
      </c>
      <c r="DB24" s="259">
        <f t="shared" si="15"/>
        <v>8.0000000000000002E-3</v>
      </c>
      <c r="DC24" s="259">
        <f t="shared" si="16"/>
        <v>8.0000000000000002E-3</v>
      </c>
      <c r="DD24" s="259">
        <f t="shared" si="17"/>
        <v>8.0000000000000002E-3</v>
      </c>
      <c r="DE24" s="259">
        <f t="shared" si="18"/>
        <v>8.0000000000000002E-3</v>
      </c>
      <c r="DF24" s="256">
        <f t="shared" si="34"/>
        <v>389.49455999999998</v>
      </c>
      <c r="DG24" s="256">
        <f t="shared" si="35"/>
        <v>292.12092000000001</v>
      </c>
      <c r="DH24" s="256">
        <f t="shared" si="36"/>
        <v>401.17939680000001</v>
      </c>
      <c r="DI24" s="256">
        <f t="shared" si="37"/>
        <v>413.21477870400003</v>
      </c>
      <c r="DJ24" s="256">
        <f t="shared" si="38"/>
        <v>425.61122206511999</v>
      </c>
      <c r="DK24" s="256">
        <f t="shared" si="39"/>
        <v>438.37955872707363</v>
      </c>
      <c r="DL24" s="206">
        <f t="shared" si="40"/>
        <v>455</v>
      </c>
      <c r="DM24" s="257">
        <f t="shared" si="20"/>
        <v>455</v>
      </c>
      <c r="DN24" s="258">
        <f t="shared" si="41"/>
        <v>113.75</v>
      </c>
      <c r="DO24" s="258">
        <f t="shared" si="41"/>
        <v>113.75</v>
      </c>
      <c r="DP24" s="258">
        <f t="shared" si="41"/>
        <v>113.75</v>
      </c>
      <c r="DQ24" s="258">
        <f t="shared" si="41"/>
        <v>113.75</v>
      </c>
    </row>
    <row r="25" spans="1:121" x14ac:dyDescent="0.3">
      <c r="A25" s="750"/>
      <c r="B25" s="205" t="s">
        <v>154</v>
      </c>
      <c r="C25" s="206">
        <v>23</v>
      </c>
      <c r="D25" s="255">
        <v>3.49E-2</v>
      </c>
      <c r="E25" s="256">
        <f>($D$4*'Tab H'!K24)</f>
        <v>6223.3330999999998</v>
      </c>
      <c r="F25" s="256">
        <f>($D$4*'Tab H'!L24)</f>
        <v>4667.4998249999999</v>
      </c>
      <c r="G25" s="256">
        <f>($D$4*'Tab H'!M24)</f>
        <v>6410.033093</v>
      </c>
      <c r="H25" s="256">
        <f>($D$4*'Tab H'!N24)</f>
        <v>6602.3340857900002</v>
      </c>
      <c r="I25" s="256">
        <f>($D$4*'Tab H'!O24)</f>
        <v>6800.4041083637003</v>
      </c>
      <c r="J25" s="256">
        <f>($D$4*'Tab H'!P24)</f>
        <v>7004.4162316146112</v>
      </c>
      <c r="K25" s="206">
        <f>ROUND($D$4*'Tab H'!Q24,0)</f>
        <v>7269</v>
      </c>
      <c r="L25" s="257">
        <f>ROUND($D$4*'Tab H'!R24,0)</f>
        <v>7269</v>
      </c>
      <c r="M25" s="258">
        <f t="shared" si="42"/>
        <v>1817.25</v>
      </c>
      <c r="N25" s="258">
        <f t="shared" si="42"/>
        <v>1817.25</v>
      </c>
      <c r="O25" s="258">
        <f t="shared" si="42"/>
        <v>1817.25</v>
      </c>
      <c r="P25" s="258">
        <f t="shared" si="42"/>
        <v>1817.25</v>
      </c>
      <c r="Q25" s="255">
        <v>3.49E-2</v>
      </c>
      <c r="R25" s="447">
        <f>ROUND($D$4*'Tab H'!K24,0)</f>
        <v>6223</v>
      </c>
      <c r="S25" s="493">
        <f>ROUND($D$4*'Tab H'!L24,0)</f>
        <v>4667</v>
      </c>
      <c r="T25" s="447">
        <f>ROUND($D$4*'Tab H'!M24,0)</f>
        <v>6410</v>
      </c>
      <c r="U25" s="447">
        <f>ROUND($D$4*'Tab H'!N24,0)</f>
        <v>6602</v>
      </c>
      <c r="V25" s="447">
        <f>ROUND($D$4*'Tab H'!O24,0)</f>
        <v>6800</v>
      </c>
      <c r="W25" s="447">
        <f>ROUND($D$4*'Tab H'!P24,0)</f>
        <v>7004</v>
      </c>
      <c r="X25" s="447">
        <f>ROUND($D$4*'Tab H'!Q24,0)</f>
        <v>7269</v>
      </c>
      <c r="Y25" s="259">
        <v>0.189</v>
      </c>
      <c r="Z25" s="256">
        <f>(0.18*'Tab H'!K24)</f>
        <v>32097.42</v>
      </c>
      <c r="AA25" s="256">
        <f>(0.18*'Tab H'!L24)</f>
        <v>24073.064999999999</v>
      </c>
      <c r="AB25" s="256">
        <f>(0.18*'Tab H'!M24)</f>
        <v>33060.342600000004</v>
      </c>
      <c r="AC25" s="256">
        <f>(0.18*'Tab H'!N24)</f>
        <v>34052.152878000001</v>
      </c>
      <c r="AD25" s="256">
        <f>(0.18*'Tab H'!O24)</f>
        <v>35073.717464339999</v>
      </c>
      <c r="AE25" s="256">
        <f>(0.18*'Tab H'!P24)</f>
        <v>36125.9289882702</v>
      </c>
      <c r="AF25" s="206">
        <f>ROUND($Y$4*'Tab H'!Q24,0)</f>
        <v>39363</v>
      </c>
      <c r="AG25" s="257">
        <f>ROUND($Y$4*'Tab H'!R24,0)</f>
        <v>39363</v>
      </c>
      <c r="AH25" s="258">
        <f t="shared" si="22"/>
        <v>9840.75</v>
      </c>
      <c r="AI25" s="258">
        <f t="shared" si="22"/>
        <v>9840.75</v>
      </c>
      <c r="AJ25" s="258">
        <f t="shared" si="22"/>
        <v>9840.75</v>
      </c>
      <c r="AK25" s="258">
        <f t="shared" si="22"/>
        <v>9840.75</v>
      </c>
      <c r="AL25" s="206">
        <v>0.15</v>
      </c>
      <c r="AM25" s="206">
        <v>0.15</v>
      </c>
      <c r="AN25" s="206">
        <v>0.15</v>
      </c>
      <c r="AO25" s="206">
        <v>0.15</v>
      </c>
      <c r="AP25" s="206">
        <v>0.15</v>
      </c>
      <c r="AQ25" s="206">
        <v>0.15</v>
      </c>
      <c r="AR25" s="206">
        <v>0.15</v>
      </c>
      <c r="AS25" s="260">
        <f t="shared" si="2"/>
        <v>0.15</v>
      </c>
      <c r="AT25" s="260">
        <f t="shared" si="3"/>
        <v>0.15</v>
      </c>
      <c r="AU25" s="260">
        <f t="shared" si="4"/>
        <v>0.15</v>
      </c>
      <c r="AV25" s="260">
        <f t="shared" si="5"/>
        <v>0.15</v>
      </c>
      <c r="AW25" s="260">
        <f t="shared" si="6"/>
        <v>0.15</v>
      </c>
      <c r="AX25" s="260">
        <f t="shared" si="7"/>
        <v>0.15</v>
      </c>
      <c r="AY25" s="256">
        <f t="shared" si="23"/>
        <v>4814.6129999999994</v>
      </c>
      <c r="AZ25" s="256">
        <f t="shared" si="24"/>
        <v>3610.9597499999995</v>
      </c>
      <c r="BA25" s="256">
        <f t="shared" si="25"/>
        <v>4959.0513900000005</v>
      </c>
      <c r="BB25" s="256">
        <f t="shared" si="26"/>
        <v>5107.8229316999996</v>
      </c>
      <c r="BC25" s="256">
        <f t="shared" si="27"/>
        <v>5261.0576196510001</v>
      </c>
      <c r="BD25" s="256">
        <f t="shared" si="28"/>
        <v>5418.8893482405301</v>
      </c>
      <c r="BE25" s="206">
        <f t="shared" si="29"/>
        <v>5904</v>
      </c>
      <c r="BF25" s="257">
        <f t="shared" si="9"/>
        <v>5904</v>
      </c>
      <c r="BG25" s="258">
        <f t="shared" si="30"/>
        <v>1476</v>
      </c>
      <c r="BH25" s="258">
        <f t="shared" si="30"/>
        <v>1476</v>
      </c>
      <c r="BI25" s="258">
        <f t="shared" si="30"/>
        <v>1476</v>
      </c>
      <c r="BJ25" s="258">
        <f t="shared" si="30"/>
        <v>1476</v>
      </c>
      <c r="BK25" s="260">
        <v>0.04</v>
      </c>
      <c r="BL25" s="256">
        <f>($BK$4*'Tab H'!K24)</f>
        <v>7132.76</v>
      </c>
      <c r="BM25" s="256">
        <f>($BK$4*'Tab H'!L24)</f>
        <v>5349.57</v>
      </c>
      <c r="BN25" s="256">
        <f>($BK$4*'Tab H'!M24)</f>
        <v>7346.7428</v>
      </c>
      <c r="BO25" s="256">
        <f>($BK$4*'Tab H'!N24)</f>
        <v>7567.1450840000007</v>
      </c>
      <c r="BP25" s="256">
        <f>($BK$4*'Tab H'!O24)</f>
        <v>7794.1594365200008</v>
      </c>
      <c r="BQ25" s="256">
        <f>($BK$4*'Tab H'!P24)</f>
        <v>8027.9842196156005</v>
      </c>
      <c r="BR25" s="256">
        <f t="shared" si="31"/>
        <v>8331</v>
      </c>
      <c r="BS25" s="257">
        <f>ROUND($BK$4*'Tab H'!R24,0)</f>
        <v>8331</v>
      </c>
      <c r="BT25" s="258">
        <f t="shared" si="32"/>
        <v>2082.75</v>
      </c>
      <c r="BU25" s="258">
        <f t="shared" si="32"/>
        <v>2082.75</v>
      </c>
      <c r="BV25" s="258">
        <f t="shared" si="32"/>
        <v>2082.75</v>
      </c>
      <c r="BW25" s="258">
        <f t="shared" si="32"/>
        <v>2082.75</v>
      </c>
      <c r="BX25" s="255">
        <v>0.04</v>
      </c>
      <c r="BY25" s="447">
        <f>ROUND($BX$4*'Tab H'!K24,0)</f>
        <v>7133</v>
      </c>
      <c r="BZ25" s="493">
        <f>ROUND($BX$4*'Tab H'!L24,0)</f>
        <v>5350</v>
      </c>
      <c r="CA25" s="447">
        <f>ROUND($BX$4*'Tab H'!M24,0)</f>
        <v>7347</v>
      </c>
      <c r="CB25" s="447">
        <f>ROUND($BX$4*'Tab H'!N24,0)</f>
        <v>7567</v>
      </c>
      <c r="CC25" s="447">
        <f>ROUND($BX$4*'Tab H'!O24,0)</f>
        <v>7794</v>
      </c>
      <c r="CD25" s="447">
        <f>ROUND($BX$4*'Tab H'!P24,0)</f>
        <v>8028</v>
      </c>
      <c r="CE25" s="447">
        <f>ROUND($BX$4*'Tab H'!Q24,0)</f>
        <v>8331</v>
      </c>
      <c r="CF25" s="260">
        <v>0.21</v>
      </c>
      <c r="CG25" s="256">
        <f>($CF$4*'Tab H'!K24)</f>
        <v>37446.99</v>
      </c>
      <c r="CH25" s="256">
        <f>($CF$4*'Tab H'!L24)</f>
        <v>28085.2425</v>
      </c>
      <c r="CI25" s="256">
        <f>($CF$4*'Tab H'!M24)</f>
        <v>38570.399700000002</v>
      </c>
      <c r="CJ25" s="256">
        <f>($CF$4*'Tab H'!N24)</f>
        <v>39727.511691</v>
      </c>
      <c r="CK25" s="256">
        <f>($CF$4*'Tab H'!O24)</f>
        <v>40919.337041730003</v>
      </c>
      <c r="CL25" s="256">
        <f>($CF$4*'Tab H'!P24)</f>
        <v>42146.9171529819</v>
      </c>
      <c r="CM25" s="206">
        <f>ROUND($CF$4*'Tab H'!Q24,0)</f>
        <v>43736</v>
      </c>
      <c r="CN25" s="257">
        <f>ROUND($CF$4*'Tab H'!R24,0)</f>
        <v>43736</v>
      </c>
      <c r="CO25" s="258">
        <f t="shared" si="33"/>
        <v>10934</v>
      </c>
      <c r="CP25" s="258">
        <f t="shared" si="33"/>
        <v>10934</v>
      </c>
      <c r="CQ25" s="258">
        <f t="shared" si="33"/>
        <v>10934</v>
      </c>
      <c r="CR25" s="258">
        <f t="shared" si="33"/>
        <v>10934</v>
      </c>
      <c r="CS25" s="206">
        <v>8.0000000000000002E-3</v>
      </c>
      <c r="CT25" s="206">
        <v>8.0000000000000002E-3</v>
      </c>
      <c r="CU25" s="206">
        <v>8.0000000000000002E-3</v>
      </c>
      <c r="CV25" s="206">
        <v>8.0000000000000002E-3</v>
      </c>
      <c r="CW25" s="206">
        <v>8.0000000000000002E-3</v>
      </c>
      <c r="CX25" s="206">
        <v>8.0000000000000002E-3</v>
      </c>
      <c r="CY25" s="206">
        <v>8.0000000000000002E-3</v>
      </c>
      <c r="CZ25" s="259">
        <f t="shared" si="13"/>
        <v>8.0000000000000002E-3</v>
      </c>
      <c r="DA25" s="259">
        <f t="shared" si="14"/>
        <v>8.0000000000000002E-3</v>
      </c>
      <c r="DB25" s="259">
        <f t="shared" si="15"/>
        <v>8.0000000000000002E-3</v>
      </c>
      <c r="DC25" s="259">
        <f t="shared" si="16"/>
        <v>8.0000000000000002E-3</v>
      </c>
      <c r="DD25" s="259">
        <f t="shared" si="17"/>
        <v>8.0000000000000002E-3</v>
      </c>
      <c r="DE25" s="259">
        <f t="shared" si="18"/>
        <v>8.0000000000000002E-3</v>
      </c>
      <c r="DF25" s="256">
        <f t="shared" si="34"/>
        <v>299.57592</v>
      </c>
      <c r="DG25" s="256">
        <f t="shared" si="35"/>
        <v>224.68194</v>
      </c>
      <c r="DH25" s="256">
        <f t="shared" si="36"/>
        <v>308.56319760000002</v>
      </c>
      <c r="DI25" s="256">
        <f t="shared" si="37"/>
        <v>317.82009352800003</v>
      </c>
      <c r="DJ25" s="256">
        <f t="shared" si="38"/>
        <v>327.35469633384002</v>
      </c>
      <c r="DK25" s="256">
        <f t="shared" si="39"/>
        <v>337.17533722385519</v>
      </c>
      <c r="DL25" s="206">
        <f t="shared" si="40"/>
        <v>350</v>
      </c>
      <c r="DM25" s="257">
        <f t="shared" si="20"/>
        <v>350</v>
      </c>
      <c r="DN25" s="258">
        <f t="shared" si="41"/>
        <v>87.5</v>
      </c>
      <c r="DO25" s="258">
        <f t="shared" si="41"/>
        <v>87.5</v>
      </c>
      <c r="DP25" s="258">
        <f t="shared" si="41"/>
        <v>87.5</v>
      </c>
      <c r="DQ25" s="258">
        <f t="shared" si="41"/>
        <v>87.5</v>
      </c>
    </row>
    <row r="26" spans="1:121" x14ac:dyDescent="0.3">
      <c r="A26" s="750"/>
      <c r="B26" s="205" t="s">
        <v>155</v>
      </c>
      <c r="C26" s="206">
        <v>24</v>
      </c>
      <c r="D26" s="255">
        <v>3.49E-2</v>
      </c>
      <c r="E26" s="256">
        <f>($D$4*'Tab H'!K25)</f>
        <v>5433.511199999999</v>
      </c>
      <c r="F26" s="256">
        <f>($D$4*'Tab H'!L25)</f>
        <v>4075.1333999999993</v>
      </c>
      <c r="G26" s="256">
        <f>($D$4*'Tab H'!M25)</f>
        <v>5596.5165359999992</v>
      </c>
      <c r="H26" s="256">
        <f>($D$4*'Tab H'!N25)</f>
        <v>5764.4120320799993</v>
      </c>
      <c r="I26" s="256">
        <f>($D$4*'Tab H'!O25)</f>
        <v>5937.3443930424</v>
      </c>
      <c r="J26" s="256">
        <f>($D$4*'Tab H'!P25)</f>
        <v>6115.4647248336723</v>
      </c>
      <c r="K26" s="206">
        <f>ROUND($D$4*'Tab H'!Q25,0)</f>
        <v>6346</v>
      </c>
      <c r="L26" s="257">
        <f>ROUND($D$4*'Tab H'!R25,0)</f>
        <v>6346</v>
      </c>
      <c r="M26" s="258">
        <f t="shared" si="42"/>
        <v>1586.5</v>
      </c>
      <c r="N26" s="258">
        <f t="shared" si="42"/>
        <v>1586.5</v>
      </c>
      <c r="O26" s="258">
        <f t="shared" si="42"/>
        <v>1586.5</v>
      </c>
      <c r="P26" s="258">
        <f t="shared" si="42"/>
        <v>1586.5</v>
      </c>
      <c r="Q26" s="255">
        <v>3.49E-2</v>
      </c>
      <c r="S26" s="493"/>
      <c r="W26" s="447">
        <f>ROUND($D$4*'Tab H'!P25,0)</f>
        <v>6115</v>
      </c>
      <c r="X26" s="447">
        <f>ROUND($D$4*'Tab H'!Q25,0)</f>
        <v>6346</v>
      </c>
      <c r="Y26" s="259">
        <v>0.189</v>
      </c>
      <c r="Z26" s="256">
        <f>(0.18*'Tab H'!K25)</f>
        <v>28023.839999999993</v>
      </c>
      <c r="AA26" s="256">
        <f>(0.18*'Tab H'!L25)</f>
        <v>21017.879999999994</v>
      </c>
      <c r="AB26" s="256">
        <f>(0.18*'Tab H'!M25)</f>
        <v>28864.555199999995</v>
      </c>
      <c r="AC26" s="256">
        <f>(0.18*'Tab H'!N25)</f>
        <v>29730.491855999997</v>
      </c>
      <c r="AD26" s="256">
        <f>(0.18*'Tab H'!O25)</f>
        <v>30622.406611679999</v>
      </c>
      <c r="AE26" s="256">
        <f>(0.18*'Tab H'!P25)</f>
        <v>31541.078810030398</v>
      </c>
      <c r="AF26" s="206">
        <f>ROUND($Y$4*'Tab H'!Q25,0)</f>
        <v>34367</v>
      </c>
      <c r="AG26" s="257">
        <f>ROUND($Y$4*'Tab H'!R25,0)</f>
        <v>34367</v>
      </c>
      <c r="AH26" s="258">
        <f t="shared" si="22"/>
        <v>8591.75</v>
      </c>
      <c r="AI26" s="258">
        <f t="shared" si="22"/>
        <v>8591.75</v>
      </c>
      <c r="AJ26" s="258">
        <f t="shared" si="22"/>
        <v>8591.75</v>
      </c>
      <c r="AK26" s="258">
        <f t="shared" si="22"/>
        <v>8591.75</v>
      </c>
      <c r="AL26" s="206">
        <v>0.15</v>
      </c>
      <c r="AM26" s="206">
        <v>0.15</v>
      </c>
      <c r="AN26" s="206">
        <v>0.15</v>
      </c>
      <c r="AO26" s="206">
        <v>0.15</v>
      </c>
      <c r="AP26" s="206">
        <v>0.15</v>
      </c>
      <c r="AQ26" s="206">
        <v>0.15</v>
      </c>
      <c r="AR26" s="206">
        <v>0.15</v>
      </c>
      <c r="AS26" s="260">
        <f t="shared" si="2"/>
        <v>0.15</v>
      </c>
      <c r="AT26" s="260">
        <f t="shared" si="3"/>
        <v>0.15</v>
      </c>
      <c r="AU26" s="260">
        <f t="shared" si="4"/>
        <v>0.15</v>
      </c>
      <c r="AV26" s="260">
        <f t="shared" si="5"/>
        <v>0.15</v>
      </c>
      <c r="AW26" s="260">
        <f t="shared" si="6"/>
        <v>0.15</v>
      </c>
      <c r="AX26" s="260">
        <f t="shared" si="7"/>
        <v>0.15</v>
      </c>
      <c r="AY26" s="256">
        <f t="shared" si="23"/>
        <v>4203.5759999999991</v>
      </c>
      <c r="AZ26" s="256">
        <f t="shared" si="24"/>
        <v>3152.6819999999989</v>
      </c>
      <c r="BA26" s="256">
        <f t="shared" si="25"/>
        <v>4329.6832799999993</v>
      </c>
      <c r="BB26" s="256">
        <f t="shared" si="26"/>
        <v>4459.5737783999994</v>
      </c>
      <c r="BC26" s="256">
        <f t="shared" si="27"/>
        <v>4593.3609917519998</v>
      </c>
      <c r="BD26" s="256">
        <f t="shared" si="28"/>
        <v>4731.1618215045592</v>
      </c>
      <c r="BE26" s="206">
        <f t="shared" si="29"/>
        <v>5155</v>
      </c>
      <c r="BF26" s="257">
        <f t="shared" si="9"/>
        <v>5155</v>
      </c>
      <c r="BG26" s="258">
        <f t="shared" si="30"/>
        <v>1288.75</v>
      </c>
      <c r="BH26" s="258">
        <f t="shared" si="30"/>
        <v>1288.75</v>
      </c>
      <c r="BI26" s="258">
        <f t="shared" si="30"/>
        <v>1288.75</v>
      </c>
      <c r="BJ26" s="258">
        <f t="shared" si="30"/>
        <v>1288.75</v>
      </c>
      <c r="BK26" s="260">
        <v>0.04</v>
      </c>
      <c r="BL26" s="256">
        <f>($BK$4*'Tab H'!K25)</f>
        <v>6227.5199999999986</v>
      </c>
      <c r="BM26" s="256">
        <f>($BK$4*'Tab H'!L25)</f>
        <v>4670.6399999999985</v>
      </c>
      <c r="BN26" s="256">
        <f>($BK$4*'Tab H'!M25)</f>
        <v>6414.3455999999996</v>
      </c>
      <c r="BO26" s="256">
        <f>($BK$4*'Tab H'!N25)</f>
        <v>6606.7759679999999</v>
      </c>
      <c r="BP26" s="256">
        <f>($BK$4*'Tab H'!O25)</f>
        <v>6804.9792470399998</v>
      </c>
      <c r="BQ26" s="256">
        <f>($BK$4*'Tab H'!P25)</f>
        <v>7009.1286244512003</v>
      </c>
      <c r="BR26" s="256">
        <f t="shared" si="31"/>
        <v>7273</v>
      </c>
      <c r="BS26" s="257">
        <f>ROUND($BK$4*'Tab H'!R25,0)</f>
        <v>7273</v>
      </c>
      <c r="BT26" s="258">
        <f t="shared" si="32"/>
        <v>1818.25</v>
      </c>
      <c r="BU26" s="258">
        <f t="shared" si="32"/>
        <v>1818.25</v>
      </c>
      <c r="BV26" s="258">
        <f t="shared" si="32"/>
        <v>1818.25</v>
      </c>
      <c r="BW26" s="258">
        <f t="shared" si="32"/>
        <v>1818.25</v>
      </c>
      <c r="BX26" s="255">
        <v>0.04</v>
      </c>
      <c r="BZ26" s="493"/>
      <c r="CD26" s="447">
        <f>ROUND($BX$4*'Tab H'!P25,0)</f>
        <v>7009</v>
      </c>
      <c r="CE26" s="447">
        <f>ROUND($BX$4*'Tab H'!Q25,0)</f>
        <v>7273</v>
      </c>
      <c r="CF26" s="260">
        <v>0.21</v>
      </c>
      <c r="CG26" s="256">
        <f>($CF$4*'Tab H'!K25)</f>
        <v>32694.479999999992</v>
      </c>
      <c r="CH26" s="256">
        <f>($CF$4*'Tab H'!L25)</f>
        <v>24520.859999999993</v>
      </c>
      <c r="CI26" s="256">
        <f>($CF$4*'Tab H'!M25)</f>
        <v>33675.314399999996</v>
      </c>
      <c r="CJ26" s="256">
        <f>($CF$4*'Tab H'!N25)</f>
        <v>34685.573831999995</v>
      </c>
      <c r="CK26" s="256">
        <f>($CF$4*'Tab H'!O25)</f>
        <v>35726.141046960001</v>
      </c>
      <c r="CL26" s="256">
        <f>($CF$4*'Tab H'!P25)</f>
        <v>36797.925278368799</v>
      </c>
      <c r="CM26" s="206">
        <f>ROUND($CF$4*'Tab H'!Q25,0)</f>
        <v>38185</v>
      </c>
      <c r="CN26" s="257">
        <f>ROUND($CF$4*'Tab H'!R25,0)</f>
        <v>38185</v>
      </c>
      <c r="CO26" s="258">
        <f t="shared" si="33"/>
        <v>9546.25</v>
      </c>
      <c r="CP26" s="258">
        <f t="shared" si="33"/>
        <v>9546.25</v>
      </c>
      <c r="CQ26" s="258">
        <f t="shared" si="33"/>
        <v>9546.25</v>
      </c>
      <c r="CR26" s="258">
        <f t="shared" si="33"/>
        <v>9546.25</v>
      </c>
      <c r="CS26" s="206">
        <v>8.0000000000000002E-3</v>
      </c>
      <c r="CT26" s="206">
        <v>8.0000000000000002E-3</v>
      </c>
      <c r="CU26" s="206">
        <v>8.0000000000000002E-3</v>
      </c>
      <c r="CV26" s="206">
        <v>8.0000000000000002E-3</v>
      </c>
      <c r="CW26" s="206">
        <v>8.0000000000000002E-3</v>
      </c>
      <c r="CX26" s="206">
        <v>8.0000000000000002E-3</v>
      </c>
      <c r="CY26" s="206">
        <v>8.0000000000000002E-3</v>
      </c>
      <c r="CZ26" s="259">
        <f t="shared" si="13"/>
        <v>8.0000000000000002E-3</v>
      </c>
      <c r="DA26" s="259">
        <f t="shared" si="14"/>
        <v>8.0000000000000002E-3</v>
      </c>
      <c r="DB26" s="259">
        <f t="shared" si="15"/>
        <v>8.0000000000000002E-3</v>
      </c>
      <c r="DC26" s="259">
        <f t="shared" si="16"/>
        <v>8.0000000000000002E-3</v>
      </c>
      <c r="DD26" s="259">
        <f t="shared" si="17"/>
        <v>8.0000000000000002E-3</v>
      </c>
      <c r="DE26" s="259">
        <f t="shared" si="18"/>
        <v>8.0000000000000002E-3</v>
      </c>
      <c r="DF26" s="256">
        <f t="shared" si="34"/>
        <v>261.55583999999993</v>
      </c>
      <c r="DG26" s="256">
        <f t="shared" si="35"/>
        <v>196.16687999999996</v>
      </c>
      <c r="DH26" s="256">
        <f t="shared" si="36"/>
        <v>269.40251519999998</v>
      </c>
      <c r="DI26" s="256">
        <f t="shared" si="37"/>
        <v>277.48459065599997</v>
      </c>
      <c r="DJ26" s="256">
        <f t="shared" si="38"/>
        <v>285.80912837568002</v>
      </c>
      <c r="DK26" s="256">
        <f t="shared" si="39"/>
        <v>294.38340222695041</v>
      </c>
      <c r="DL26" s="206">
        <f t="shared" si="40"/>
        <v>305</v>
      </c>
      <c r="DM26" s="257">
        <f t="shared" si="20"/>
        <v>305</v>
      </c>
      <c r="DN26" s="258">
        <f t="shared" si="41"/>
        <v>76.25</v>
      </c>
      <c r="DO26" s="258">
        <f t="shared" si="41"/>
        <v>76.25</v>
      </c>
      <c r="DP26" s="258">
        <f t="shared" si="41"/>
        <v>76.25</v>
      </c>
      <c r="DQ26" s="258">
        <f t="shared" si="41"/>
        <v>76.25</v>
      </c>
    </row>
    <row r="27" spans="1:121" x14ac:dyDescent="0.3">
      <c r="A27" s="750"/>
      <c r="B27" s="205" t="s">
        <v>156</v>
      </c>
      <c r="C27" s="206">
        <v>20</v>
      </c>
      <c r="D27" s="255">
        <v>3.49E-2</v>
      </c>
      <c r="E27" s="256">
        <f>($D$4*'Tab H'!K26)</f>
        <v>9157.2016000000003</v>
      </c>
      <c r="F27" s="256">
        <f>($D$4*'Tab H'!L26)</f>
        <v>6867.9012000000002</v>
      </c>
      <c r="G27" s="256">
        <f>($D$4*'Tab H'!M26)</f>
        <v>9431.9176480000006</v>
      </c>
      <c r="H27" s="256">
        <f>($D$4*'Tab H'!N26)</f>
        <v>9714.8751774400007</v>
      </c>
      <c r="I27" s="256">
        <f>($D$4*'Tab H'!O26)</f>
        <v>10006.321432763203</v>
      </c>
      <c r="J27" s="256">
        <f>($D$4*'Tab H'!P26)</f>
        <v>10306.511075746099</v>
      </c>
      <c r="K27" s="206">
        <f>ROUND($D$4*'Tab H'!Q26,0)</f>
        <v>10695</v>
      </c>
      <c r="L27" s="257">
        <f>ROUND($D$4*'Tab H'!R26,0)</f>
        <v>10695</v>
      </c>
      <c r="M27" s="258">
        <f t="shared" si="42"/>
        <v>2673.75</v>
      </c>
      <c r="N27" s="258">
        <f t="shared" si="42"/>
        <v>2673.75</v>
      </c>
      <c r="O27" s="258">
        <f t="shared" si="42"/>
        <v>2673.75</v>
      </c>
      <c r="P27" s="258">
        <f t="shared" si="42"/>
        <v>2673.75</v>
      </c>
      <c r="Q27" s="255">
        <v>3.49E-2</v>
      </c>
      <c r="R27" s="447">
        <f>ROUND($D$4*'Tab H'!K26,0)</f>
        <v>9157</v>
      </c>
      <c r="S27" s="493">
        <f>ROUND($D$4*'Tab H'!L26,0)</f>
        <v>6868</v>
      </c>
      <c r="T27" s="447">
        <f>ROUND($D$4*'Tab H'!M26,0)</f>
        <v>9432</v>
      </c>
      <c r="U27" s="447">
        <f>ROUND($D$4*'Tab H'!N26,0)</f>
        <v>9715</v>
      </c>
      <c r="V27" s="447">
        <f>ROUND($D$4*'Tab H'!O26,0)</f>
        <v>10006</v>
      </c>
      <c r="W27" s="447">
        <f>ROUND($D$4*'Tab H'!P26,0)</f>
        <v>10307</v>
      </c>
      <c r="X27" s="447">
        <f>ROUND($D$4*'Tab H'!Q26,0)</f>
        <v>10695</v>
      </c>
      <c r="Y27" s="259">
        <v>0.189</v>
      </c>
      <c r="Z27" s="256">
        <f>(0.18*'Tab H'!K26)</f>
        <v>47229.119999999995</v>
      </c>
      <c r="AA27" s="256">
        <f>(0.18*'Tab H'!L26)</f>
        <v>35421.839999999997</v>
      </c>
      <c r="AB27" s="256">
        <f>(0.18*'Tab H'!M26)</f>
        <v>48645.993600000002</v>
      </c>
      <c r="AC27" s="256">
        <f>(0.18*'Tab H'!N26)</f>
        <v>50105.373407999999</v>
      </c>
      <c r="AD27" s="256">
        <f>(0.18*'Tab H'!O26)</f>
        <v>51608.534610240007</v>
      </c>
      <c r="AE27" s="256">
        <f>(0.18*'Tab H'!P26)</f>
        <v>53156.790648547212</v>
      </c>
      <c r="AF27" s="206">
        <f>ROUND($Y$4*'Tab H'!Q26,0)</f>
        <v>57921</v>
      </c>
      <c r="AG27" s="257">
        <f>ROUND($Y$4*'Tab H'!R26,0)</f>
        <v>57921</v>
      </c>
      <c r="AH27" s="258">
        <f t="shared" si="22"/>
        <v>14480.25</v>
      </c>
      <c r="AI27" s="258">
        <f t="shared" si="22"/>
        <v>14480.25</v>
      </c>
      <c r="AJ27" s="258">
        <f t="shared" si="22"/>
        <v>14480.25</v>
      </c>
      <c r="AK27" s="258">
        <f t="shared" si="22"/>
        <v>14480.25</v>
      </c>
      <c r="AL27" s="206">
        <v>0.15</v>
      </c>
      <c r="AM27" s="206">
        <v>0.15</v>
      </c>
      <c r="AN27" s="206">
        <v>0.15</v>
      </c>
      <c r="AO27" s="206">
        <v>0.15</v>
      </c>
      <c r="AP27" s="206">
        <v>0.15</v>
      </c>
      <c r="AQ27" s="206">
        <v>0.15</v>
      </c>
      <c r="AR27" s="206">
        <v>0.15</v>
      </c>
      <c r="AS27" s="260">
        <f t="shared" si="2"/>
        <v>0.15</v>
      </c>
      <c r="AT27" s="260">
        <f t="shared" si="3"/>
        <v>0.15</v>
      </c>
      <c r="AU27" s="260">
        <f t="shared" si="4"/>
        <v>0.15</v>
      </c>
      <c r="AV27" s="260">
        <f t="shared" si="5"/>
        <v>0.15</v>
      </c>
      <c r="AW27" s="260">
        <f t="shared" si="6"/>
        <v>0.15</v>
      </c>
      <c r="AX27" s="260">
        <f t="shared" si="7"/>
        <v>0.15</v>
      </c>
      <c r="AY27" s="256">
        <f t="shared" si="23"/>
        <v>7084.3679999999995</v>
      </c>
      <c r="AZ27" s="256">
        <f t="shared" si="24"/>
        <v>5313.2759999999989</v>
      </c>
      <c r="BA27" s="256">
        <f t="shared" si="25"/>
        <v>7296.8990400000002</v>
      </c>
      <c r="BB27" s="256">
        <f t="shared" si="26"/>
        <v>7515.8060111999994</v>
      </c>
      <c r="BC27" s="256">
        <f t="shared" si="27"/>
        <v>7741.2801915360005</v>
      </c>
      <c r="BD27" s="256">
        <f t="shared" si="28"/>
        <v>7973.5185972820818</v>
      </c>
      <c r="BE27" s="206">
        <f t="shared" si="29"/>
        <v>8688</v>
      </c>
      <c r="BF27" s="257">
        <f t="shared" si="9"/>
        <v>8688</v>
      </c>
      <c r="BG27" s="258">
        <f t="shared" si="30"/>
        <v>2172</v>
      </c>
      <c r="BH27" s="258">
        <f t="shared" si="30"/>
        <v>2172</v>
      </c>
      <c r="BI27" s="258">
        <f t="shared" si="30"/>
        <v>2172</v>
      </c>
      <c r="BJ27" s="258">
        <f t="shared" si="30"/>
        <v>2172</v>
      </c>
      <c r="BK27" s="260">
        <v>0.04</v>
      </c>
      <c r="BL27" s="256">
        <f>($BK$4*'Tab H'!K26)</f>
        <v>10495.36</v>
      </c>
      <c r="BM27" s="256">
        <f>($BK$4*'Tab H'!L26)</f>
        <v>7871.52</v>
      </c>
      <c r="BN27" s="256">
        <f>($BK$4*'Tab H'!M26)</f>
        <v>10810.220800000001</v>
      </c>
      <c r="BO27" s="256">
        <f>($BK$4*'Tab H'!N26)</f>
        <v>11134.527424000002</v>
      </c>
      <c r="BP27" s="256">
        <f>($BK$4*'Tab H'!O26)</f>
        <v>11468.563246720003</v>
      </c>
      <c r="BQ27" s="256">
        <f>($BK$4*'Tab H'!P26)</f>
        <v>11812.620144121604</v>
      </c>
      <c r="BR27" s="256">
        <f t="shared" si="31"/>
        <v>12258</v>
      </c>
      <c r="BS27" s="257">
        <f>ROUND($BK$4*'Tab H'!R26,0)</f>
        <v>12258</v>
      </c>
      <c r="BT27" s="258">
        <f t="shared" si="32"/>
        <v>3064.5</v>
      </c>
      <c r="BU27" s="258">
        <f t="shared" si="32"/>
        <v>3064.5</v>
      </c>
      <c r="BV27" s="258">
        <f t="shared" si="32"/>
        <v>3064.5</v>
      </c>
      <c r="BW27" s="258">
        <f t="shared" si="32"/>
        <v>3064.5</v>
      </c>
      <c r="BX27" s="255">
        <v>0.04</v>
      </c>
      <c r="BY27" s="447">
        <f>ROUND($BX$4*'Tab H'!K26,0)</f>
        <v>10495</v>
      </c>
      <c r="BZ27" s="493">
        <f>ROUND($BX$4*'Tab H'!L26,0)</f>
        <v>7872</v>
      </c>
      <c r="CA27" s="447">
        <f>ROUND($BX$4*'Tab H'!M26,0)</f>
        <v>10810</v>
      </c>
      <c r="CB27" s="447">
        <f>ROUND($BX$4*'Tab H'!N26,0)</f>
        <v>11135</v>
      </c>
      <c r="CC27" s="447">
        <f>ROUND($BX$4*'Tab H'!O26,0)</f>
        <v>11469</v>
      </c>
      <c r="CD27" s="447">
        <f>ROUND($BX$4*'Tab H'!P26,0)</f>
        <v>11813</v>
      </c>
      <c r="CE27" s="447">
        <f>ROUND($BX$4*'Tab H'!Q26,0)</f>
        <v>12258</v>
      </c>
      <c r="CF27" s="260">
        <v>0.21</v>
      </c>
      <c r="CG27" s="256">
        <f>($CF$4*'Tab H'!K26)</f>
        <v>55100.639999999999</v>
      </c>
      <c r="CH27" s="256">
        <f>($CF$4*'Tab H'!L26)</f>
        <v>41325.479999999996</v>
      </c>
      <c r="CI27" s="256">
        <f>($CF$4*'Tab H'!M26)</f>
        <v>56753.659200000002</v>
      </c>
      <c r="CJ27" s="256">
        <f>($CF$4*'Tab H'!N26)</f>
        <v>58456.268976000007</v>
      </c>
      <c r="CK27" s="256">
        <f>($CF$4*'Tab H'!O26)</f>
        <v>60209.957045280011</v>
      </c>
      <c r="CL27" s="256">
        <f>($CF$4*'Tab H'!P26)</f>
        <v>62016.255756638413</v>
      </c>
      <c r="CM27" s="206">
        <f>ROUND($CF$4*'Tab H'!Q26,0)</f>
        <v>64356</v>
      </c>
      <c r="CN27" s="257">
        <f>ROUND($CF$4*'Tab H'!R26,0)</f>
        <v>64356</v>
      </c>
      <c r="CO27" s="258">
        <f t="shared" si="33"/>
        <v>16089</v>
      </c>
      <c r="CP27" s="258">
        <f t="shared" si="33"/>
        <v>16089</v>
      </c>
      <c r="CQ27" s="258">
        <f t="shared" si="33"/>
        <v>16089</v>
      </c>
      <c r="CR27" s="258">
        <f t="shared" si="33"/>
        <v>16089</v>
      </c>
      <c r="CS27" s="206">
        <v>8.0000000000000002E-3</v>
      </c>
      <c r="CT27" s="206">
        <v>8.0000000000000002E-3</v>
      </c>
      <c r="CU27" s="206">
        <v>8.0000000000000002E-3</v>
      </c>
      <c r="CV27" s="206">
        <v>8.0000000000000002E-3</v>
      </c>
      <c r="CW27" s="206">
        <v>8.0000000000000002E-3</v>
      </c>
      <c r="CX27" s="206">
        <v>8.0000000000000002E-3</v>
      </c>
      <c r="CY27" s="206">
        <v>8.0000000000000002E-3</v>
      </c>
      <c r="CZ27" s="259">
        <f t="shared" si="13"/>
        <v>8.0000000000000002E-3</v>
      </c>
      <c r="DA27" s="259">
        <f t="shared" si="14"/>
        <v>8.0000000000000002E-3</v>
      </c>
      <c r="DB27" s="259">
        <f t="shared" si="15"/>
        <v>8.0000000000000002E-3</v>
      </c>
      <c r="DC27" s="259">
        <f t="shared" si="16"/>
        <v>8.0000000000000002E-3</v>
      </c>
      <c r="DD27" s="259">
        <f t="shared" si="17"/>
        <v>8.0000000000000002E-3</v>
      </c>
      <c r="DE27" s="259">
        <f t="shared" si="18"/>
        <v>8.0000000000000002E-3</v>
      </c>
      <c r="DF27" s="256">
        <f t="shared" si="34"/>
        <v>440.80511999999999</v>
      </c>
      <c r="DG27" s="256">
        <f t="shared" si="35"/>
        <v>330.60383999999999</v>
      </c>
      <c r="DH27" s="256">
        <f t="shared" si="36"/>
        <v>454.02927360000001</v>
      </c>
      <c r="DI27" s="256">
        <f t="shared" si="37"/>
        <v>467.65015180800009</v>
      </c>
      <c r="DJ27" s="256">
        <f t="shared" si="38"/>
        <v>481.67965636224011</v>
      </c>
      <c r="DK27" s="256">
        <f t="shared" si="39"/>
        <v>496.13004605310732</v>
      </c>
      <c r="DL27" s="206">
        <f t="shared" si="40"/>
        <v>515</v>
      </c>
      <c r="DM27" s="257">
        <f t="shared" si="20"/>
        <v>515</v>
      </c>
      <c r="DN27" s="258">
        <f t="shared" si="41"/>
        <v>128.75</v>
      </c>
      <c r="DO27" s="258">
        <f t="shared" si="41"/>
        <v>128.75</v>
      </c>
      <c r="DP27" s="258">
        <f t="shared" si="41"/>
        <v>128.75</v>
      </c>
      <c r="DQ27" s="258">
        <f t="shared" si="41"/>
        <v>128.75</v>
      </c>
    </row>
    <row r="28" spans="1:121" x14ac:dyDescent="0.3">
      <c r="A28" s="750"/>
      <c r="B28" s="205" t="s">
        <v>157</v>
      </c>
      <c r="C28" s="206">
        <v>24</v>
      </c>
      <c r="D28" s="255">
        <v>3.49E-2</v>
      </c>
      <c r="E28" s="256">
        <f>($D$4*'Tab H'!K27)</f>
        <v>6740.8303000000005</v>
      </c>
      <c r="F28" s="256">
        <f>($D$4*'Tab H'!L27)</f>
        <v>5055.6227250000002</v>
      </c>
      <c r="G28" s="256">
        <f>($D$4*'Tab H'!M27)</f>
        <v>6943.0552090000001</v>
      </c>
      <c r="H28" s="256">
        <f>($D$4*'Tab H'!N27)</f>
        <v>7151.3468652700003</v>
      </c>
      <c r="I28" s="256">
        <f>($D$4*'Tab H'!O27)</f>
        <v>7365.8872712281009</v>
      </c>
      <c r="J28" s="256">
        <f>($D$4*'Tab H'!P27)</f>
        <v>7586.863889364944</v>
      </c>
      <c r="K28" s="206">
        <f>ROUND($D$4*'Tab H'!Q27,0)</f>
        <v>8350</v>
      </c>
      <c r="L28" s="257">
        <f>ROUND($D$4*'Tab H'!R27,0)</f>
        <v>8350</v>
      </c>
      <c r="M28" s="258">
        <f t="shared" si="42"/>
        <v>2087.5</v>
      </c>
      <c r="N28" s="258">
        <f t="shared" si="42"/>
        <v>2087.5</v>
      </c>
      <c r="O28" s="258">
        <f t="shared" si="42"/>
        <v>2087.5</v>
      </c>
      <c r="P28" s="258">
        <f t="shared" si="42"/>
        <v>2087.5</v>
      </c>
      <c r="Q28" s="255">
        <v>3.49E-2</v>
      </c>
      <c r="S28" s="493"/>
      <c r="W28" s="447">
        <f>ROUND($D$4*'Tab H'!P27,0)</f>
        <v>7587</v>
      </c>
      <c r="X28" s="447">
        <f>ROUND($D$4*'Tab H'!Q27,0)</f>
        <v>8350</v>
      </c>
      <c r="Y28" s="259">
        <v>0.189</v>
      </c>
      <c r="Z28" s="256">
        <f>(0.18*'Tab H'!K27)</f>
        <v>34766.46</v>
      </c>
      <c r="AA28" s="256">
        <f>(0.18*'Tab H'!L27)</f>
        <v>26074.844999999998</v>
      </c>
      <c r="AB28" s="256">
        <f>(0.18*'Tab H'!M27)</f>
        <v>35809.453799999996</v>
      </c>
      <c r="AC28" s="256">
        <f>(0.18*'Tab H'!N27)</f>
        <v>36883.737414000003</v>
      </c>
      <c r="AD28" s="256">
        <f>(0.18*'Tab H'!O27)</f>
        <v>37990.249536420008</v>
      </c>
      <c r="AE28" s="256">
        <f>(0.18*'Tab H'!P27)</f>
        <v>39129.957022512608</v>
      </c>
      <c r="AF28" s="206">
        <f>ROUND($Y$4*'Tab H'!Q27,0)</f>
        <v>45222</v>
      </c>
      <c r="AG28" s="257">
        <f>ROUND($Y$4*'Tab H'!R27,0)</f>
        <v>45222</v>
      </c>
      <c r="AH28" s="258">
        <f t="shared" si="22"/>
        <v>11305.5</v>
      </c>
      <c r="AI28" s="258">
        <f t="shared" si="22"/>
        <v>11305.5</v>
      </c>
      <c r="AJ28" s="258">
        <f t="shared" si="22"/>
        <v>11305.5</v>
      </c>
      <c r="AK28" s="258">
        <f t="shared" si="22"/>
        <v>11305.5</v>
      </c>
      <c r="AL28" s="206">
        <v>0.15</v>
      </c>
      <c r="AM28" s="206">
        <v>0.15</v>
      </c>
      <c r="AN28" s="206">
        <v>0.15</v>
      </c>
      <c r="AO28" s="206">
        <v>0.15</v>
      </c>
      <c r="AP28" s="206">
        <v>0.15</v>
      </c>
      <c r="AQ28" s="206">
        <v>0.15</v>
      </c>
      <c r="AR28" s="206">
        <v>0.15</v>
      </c>
      <c r="AS28" s="260">
        <f t="shared" si="2"/>
        <v>0.15</v>
      </c>
      <c r="AT28" s="260">
        <f t="shared" si="3"/>
        <v>0.15</v>
      </c>
      <c r="AU28" s="260">
        <f t="shared" si="4"/>
        <v>0.15</v>
      </c>
      <c r="AV28" s="260">
        <f t="shared" si="5"/>
        <v>0.15</v>
      </c>
      <c r="AW28" s="260">
        <f t="shared" si="6"/>
        <v>0.15</v>
      </c>
      <c r="AX28" s="260">
        <f t="shared" si="7"/>
        <v>0.15</v>
      </c>
      <c r="AY28" s="256">
        <f t="shared" si="23"/>
        <v>5214.9690000000001</v>
      </c>
      <c r="AZ28" s="256">
        <f t="shared" si="24"/>
        <v>3911.2267499999994</v>
      </c>
      <c r="BA28" s="256">
        <f t="shared" si="25"/>
        <v>5371.4180699999988</v>
      </c>
      <c r="BB28" s="256">
        <f t="shared" si="26"/>
        <v>5532.5606121000001</v>
      </c>
      <c r="BC28" s="256">
        <f t="shared" si="27"/>
        <v>5698.5374304630013</v>
      </c>
      <c r="BD28" s="256">
        <f t="shared" si="28"/>
        <v>5869.4935533768912</v>
      </c>
      <c r="BE28" s="206">
        <f t="shared" si="29"/>
        <v>6783</v>
      </c>
      <c r="BF28" s="257">
        <f t="shared" si="9"/>
        <v>6783</v>
      </c>
      <c r="BG28" s="258">
        <f t="shared" si="30"/>
        <v>1695.75</v>
      </c>
      <c r="BH28" s="258">
        <f t="shared" si="30"/>
        <v>1695.75</v>
      </c>
      <c r="BI28" s="258">
        <f t="shared" si="30"/>
        <v>1695.75</v>
      </c>
      <c r="BJ28" s="258">
        <f t="shared" si="30"/>
        <v>1695.75</v>
      </c>
      <c r="BK28" s="260">
        <v>0.04</v>
      </c>
      <c r="BL28" s="256">
        <f>($BK$4*'Tab H'!K27)</f>
        <v>7725.88</v>
      </c>
      <c r="BM28" s="256">
        <f>($BK$4*'Tab H'!L27)</f>
        <v>5794.41</v>
      </c>
      <c r="BN28" s="256">
        <f>($BK$4*'Tab H'!M27)</f>
        <v>7957.6564000000008</v>
      </c>
      <c r="BO28" s="256">
        <f>($BK$4*'Tab H'!N27)</f>
        <v>8196.3860920000006</v>
      </c>
      <c r="BP28" s="256">
        <f>($BK$4*'Tab H'!O27)</f>
        <v>8442.2776747600019</v>
      </c>
      <c r="BQ28" s="256">
        <f>($BK$4*'Tab H'!P27)</f>
        <v>8695.5460050028014</v>
      </c>
      <c r="BR28" s="256">
        <f t="shared" si="31"/>
        <v>9571</v>
      </c>
      <c r="BS28" s="257">
        <f>ROUND($BK$4*'Tab H'!R27,0)</f>
        <v>9571</v>
      </c>
      <c r="BT28" s="258">
        <f t="shared" si="32"/>
        <v>2392.75</v>
      </c>
      <c r="BU28" s="258">
        <f t="shared" si="32"/>
        <v>2392.75</v>
      </c>
      <c r="BV28" s="258">
        <f t="shared" si="32"/>
        <v>2392.75</v>
      </c>
      <c r="BW28" s="258">
        <f t="shared" si="32"/>
        <v>2392.75</v>
      </c>
      <c r="BX28" s="255">
        <v>0.04</v>
      </c>
      <c r="BZ28" s="493"/>
      <c r="CD28" s="447">
        <f>ROUND($BX$4*'Tab H'!P27,0)</f>
        <v>8696</v>
      </c>
      <c r="CE28" s="447">
        <f>ROUND($BX$4*'Tab H'!Q27,0)</f>
        <v>9571</v>
      </c>
      <c r="CF28" s="260">
        <v>0.21</v>
      </c>
      <c r="CG28" s="256">
        <f>($CF$4*'Tab H'!K27)</f>
        <v>40560.869999999995</v>
      </c>
      <c r="CH28" s="256">
        <f>($CF$4*'Tab H'!L27)</f>
        <v>30420.6525</v>
      </c>
      <c r="CI28" s="256">
        <f>($CF$4*'Tab H'!M27)</f>
        <v>41777.696100000001</v>
      </c>
      <c r="CJ28" s="256">
        <f>($CF$4*'Tab H'!N27)</f>
        <v>43031.026983000003</v>
      </c>
      <c r="CK28" s="256">
        <f>($CF$4*'Tab H'!O27)</f>
        <v>44321.957792490008</v>
      </c>
      <c r="CL28" s="256">
        <f>($CF$4*'Tab H'!P27)</f>
        <v>45651.616526264705</v>
      </c>
      <c r="CM28" s="206">
        <f>ROUND($CF$4*'Tab H'!Q27,0)</f>
        <v>50246</v>
      </c>
      <c r="CN28" s="257">
        <f>ROUND($CF$4*'Tab H'!R27,0)</f>
        <v>50246</v>
      </c>
      <c r="CO28" s="258">
        <f t="shared" si="33"/>
        <v>12561.5</v>
      </c>
      <c r="CP28" s="258">
        <f t="shared" si="33"/>
        <v>12561.5</v>
      </c>
      <c r="CQ28" s="258">
        <f t="shared" si="33"/>
        <v>12561.5</v>
      </c>
      <c r="CR28" s="258">
        <f t="shared" si="33"/>
        <v>12561.5</v>
      </c>
      <c r="CS28" s="206">
        <v>8.0000000000000002E-3</v>
      </c>
      <c r="CT28" s="206">
        <v>8.0000000000000002E-3</v>
      </c>
      <c r="CU28" s="206">
        <v>8.0000000000000002E-3</v>
      </c>
      <c r="CV28" s="206">
        <v>8.0000000000000002E-3</v>
      </c>
      <c r="CW28" s="206">
        <v>8.0000000000000002E-3</v>
      </c>
      <c r="CX28" s="206">
        <v>8.0000000000000002E-3</v>
      </c>
      <c r="CY28" s="206">
        <v>8.0000000000000002E-3</v>
      </c>
      <c r="CZ28" s="259">
        <f t="shared" si="13"/>
        <v>8.0000000000000002E-3</v>
      </c>
      <c r="DA28" s="259">
        <f t="shared" si="14"/>
        <v>8.0000000000000002E-3</v>
      </c>
      <c r="DB28" s="259">
        <f t="shared" si="15"/>
        <v>8.0000000000000002E-3</v>
      </c>
      <c r="DC28" s="259">
        <f t="shared" si="16"/>
        <v>8.0000000000000002E-3</v>
      </c>
      <c r="DD28" s="259">
        <f t="shared" si="17"/>
        <v>8.0000000000000002E-3</v>
      </c>
      <c r="DE28" s="259">
        <f t="shared" si="18"/>
        <v>8.0000000000000002E-3</v>
      </c>
      <c r="DF28" s="256">
        <f t="shared" si="34"/>
        <v>324.48695999999995</v>
      </c>
      <c r="DG28" s="256">
        <f t="shared" si="35"/>
        <v>243.36521999999999</v>
      </c>
      <c r="DH28" s="256">
        <f t="shared" si="36"/>
        <v>334.2215688</v>
      </c>
      <c r="DI28" s="256">
        <f t="shared" si="37"/>
        <v>344.24821586400003</v>
      </c>
      <c r="DJ28" s="256">
        <f t="shared" si="38"/>
        <v>354.57566233992009</v>
      </c>
      <c r="DK28" s="256">
        <f t="shared" si="39"/>
        <v>365.21293221011763</v>
      </c>
      <c r="DL28" s="206">
        <f t="shared" si="40"/>
        <v>402</v>
      </c>
      <c r="DM28" s="257">
        <f t="shared" si="20"/>
        <v>402</v>
      </c>
      <c r="DN28" s="258">
        <f t="shared" si="41"/>
        <v>100.5</v>
      </c>
      <c r="DO28" s="258">
        <f t="shared" si="41"/>
        <v>100.5</v>
      </c>
      <c r="DP28" s="258">
        <f t="shared" si="41"/>
        <v>100.5</v>
      </c>
      <c r="DQ28" s="258">
        <f t="shared" si="41"/>
        <v>100.5</v>
      </c>
    </row>
    <row r="29" spans="1:121" x14ac:dyDescent="0.3">
      <c r="A29" s="750"/>
      <c r="B29" s="205" t="s">
        <v>158</v>
      </c>
      <c r="C29" s="206">
        <v>18</v>
      </c>
      <c r="D29" s="255">
        <v>3.49E-2</v>
      </c>
      <c r="E29" s="256">
        <f>($D$4*'Tab H'!K28)</f>
        <v>5050.1696000000002</v>
      </c>
      <c r="F29" s="256">
        <f>($D$4*'Tab H'!L28)</f>
        <v>3787.6271999999999</v>
      </c>
      <c r="G29" s="256">
        <f>($D$4*'Tab H'!M28)</f>
        <v>5201.6746880000001</v>
      </c>
      <c r="H29" s="256">
        <f>($D$4*'Tab H'!N28)</f>
        <v>5357.7249286400001</v>
      </c>
      <c r="I29" s="256">
        <f>($D$4*'Tab H'!O28)</f>
        <v>5518.4566764992005</v>
      </c>
      <c r="J29" s="256">
        <f>($D$4*'Tab H'!P28)</f>
        <v>5684.0103767941764</v>
      </c>
      <c r="K29" s="206">
        <f>ROUND($D$4*'Tab H'!Q28,0)</f>
        <v>5898</v>
      </c>
      <c r="L29" s="257">
        <f>ROUND($D$4*'Tab H'!R28,0)</f>
        <v>5898</v>
      </c>
      <c r="M29" s="258">
        <f t="shared" si="42"/>
        <v>1474.5</v>
      </c>
      <c r="N29" s="258">
        <f t="shared" si="42"/>
        <v>1474.5</v>
      </c>
      <c r="O29" s="258">
        <f t="shared" si="42"/>
        <v>1474.5</v>
      </c>
      <c r="P29" s="258">
        <f t="shared" si="42"/>
        <v>1474.5</v>
      </c>
      <c r="Q29" s="255">
        <v>3.49E-2</v>
      </c>
      <c r="R29" s="447">
        <f>ROUND($D$4*'Tab H'!K28,0)</f>
        <v>5050</v>
      </c>
      <c r="S29" s="493">
        <f>ROUND($D$4*'Tab H'!L28,0)</f>
        <v>3788</v>
      </c>
      <c r="T29" s="447">
        <f>ROUND($D$4*'Tab H'!M28,0)</f>
        <v>5202</v>
      </c>
      <c r="U29" s="447">
        <f>ROUND($D$4*'Tab H'!N28,0)</f>
        <v>5358</v>
      </c>
      <c r="V29" s="447">
        <f>ROUND($D$4*'Tab H'!O28,0)</f>
        <v>5518</v>
      </c>
      <c r="W29" s="447">
        <f>ROUND($D$4*'Tab H'!P28,0)</f>
        <v>5684</v>
      </c>
      <c r="X29" s="447">
        <f>ROUND($D$4*'Tab H'!Q28,0)</f>
        <v>5898</v>
      </c>
      <c r="Y29" s="259">
        <v>0.189</v>
      </c>
      <c r="Z29" s="256">
        <f>(0.18*'Tab H'!K28)</f>
        <v>26046.719999999998</v>
      </c>
      <c r="AA29" s="256">
        <f>(0.18*'Tab H'!L28)</f>
        <v>19535.04</v>
      </c>
      <c r="AB29" s="256">
        <f>(0.18*'Tab H'!M28)</f>
        <v>26828.121599999999</v>
      </c>
      <c r="AC29" s="256">
        <f>(0.18*'Tab H'!N28)</f>
        <v>27632.965247999997</v>
      </c>
      <c r="AD29" s="256">
        <f>(0.18*'Tab H'!O28)</f>
        <v>28461.954205440001</v>
      </c>
      <c r="AE29" s="256">
        <f>(0.18*'Tab H'!P28)</f>
        <v>29315.812831603202</v>
      </c>
      <c r="AF29" s="206">
        <f>ROUND($Y$4*'Tab H'!Q28,0)</f>
        <v>31942</v>
      </c>
      <c r="AG29" s="257">
        <f>ROUND($Y$4*'Tab H'!R28,0)</f>
        <v>31942</v>
      </c>
      <c r="AH29" s="258">
        <f t="shared" si="22"/>
        <v>7985.5</v>
      </c>
      <c r="AI29" s="258">
        <f t="shared" si="22"/>
        <v>7985.5</v>
      </c>
      <c r="AJ29" s="258">
        <f t="shared" si="22"/>
        <v>7985.5</v>
      </c>
      <c r="AK29" s="258">
        <f t="shared" si="22"/>
        <v>7985.5</v>
      </c>
      <c r="AL29" s="206">
        <v>0.15</v>
      </c>
      <c r="AM29" s="206">
        <v>0.15</v>
      </c>
      <c r="AN29" s="206">
        <v>0.15</v>
      </c>
      <c r="AO29" s="206">
        <v>0.15</v>
      </c>
      <c r="AP29" s="206">
        <v>0.15</v>
      </c>
      <c r="AQ29" s="206">
        <v>0.15</v>
      </c>
      <c r="AR29" s="206">
        <v>0.15</v>
      </c>
      <c r="AS29" s="260">
        <f t="shared" si="2"/>
        <v>0.15</v>
      </c>
      <c r="AT29" s="260">
        <f t="shared" si="3"/>
        <v>0.15</v>
      </c>
      <c r="AU29" s="260">
        <f t="shared" si="4"/>
        <v>0.15</v>
      </c>
      <c r="AV29" s="260">
        <f t="shared" si="5"/>
        <v>0.15</v>
      </c>
      <c r="AW29" s="260">
        <f t="shared" si="6"/>
        <v>0.15</v>
      </c>
      <c r="AX29" s="260">
        <f t="shared" si="7"/>
        <v>0.15</v>
      </c>
      <c r="AY29" s="256">
        <f t="shared" si="23"/>
        <v>3907.0079999999994</v>
      </c>
      <c r="AZ29" s="256">
        <f t="shared" si="24"/>
        <v>2930.2559999999999</v>
      </c>
      <c r="BA29" s="256">
        <f t="shared" si="25"/>
        <v>4024.2182399999997</v>
      </c>
      <c r="BB29" s="256">
        <f t="shared" si="26"/>
        <v>4144.9447871999992</v>
      </c>
      <c r="BC29" s="256">
        <f t="shared" si="27"/>
        <v>4269.2931308159996</v>
      </c>
      <c r="BD29" s="256">
        <f t="shared" si="28"/>
        <v>4397.3719247404797</v>
      </c>
      <c r="BE29" s="206">
        <f t="shared" si="29"/>
        <v>4791</v>
      </c>
      <c r="BF29" s="257">
        <f t="shared" si="9"/>
        <v>4791</v>
      </c>
      <c r="BG29" s="258">
        <f t="shared" si="30"/>
        <v>1197.75</v>
      </c>
      <c r="BH29" s="258">
        <f t="shared" si="30"/>
        <v>1197.75</v>
      </c>
      <c r="BI29" s="258">
        <f t="shared" si="30"/>
        <v>1197.75</v>
      </c>
      <c r="BJ29" s="258">
        <f t="shared" si="30"/>
        <v>1197.75</v>
      </c>
      <c r="BK29" s="260">
        <v>0.04</v>
      </c>
      <c r="BL29" s="256">
        <f>($BK$4*'Tab H'!K28)</f>
        <v>5788.16</v>
      </c>
      <c r="BM29" s="256">
        <f>($BK$4*'Tab H'!L28)</f>
        <v>4341.12</v>
      </c>
      <c r="BN29" s="256">
        <f>($BK$4*'Tab H'!M28)</f>
        <v>5961.8047999999999</v>
      </c>
      <c r="BO29" s="256">
        <f>($BK$4*'Tab H'!N28)</f>
        <v>6140.6589439999998</v>
      </c>
      <c r="BP29" s="256">
        <f>($BK$4*'Tab H'!O28)</f>
        <v>6324.8787123200009</v>
      </c>
      <c r="BQ29" s="256">
        <f>($BK$4*'Tab H'!P28)</f>
        <v>6514.6250736896009</v>
      </c>
      <c r="BR29" s="256">
        <f t="shared" si="31"/>
        <v>6760</v>
      </c>
      <c r="BS29" s="257">
        <f>ROUND($BK$4*'Tab H'!R28,0)</f>
        <v>6760</v>
      </c>
      <c r="BT29" s="258">
        <f t="shared" si="32"/>
        <v>1690</v>
      </c>
      <c r="BU29" s="258">
        <f t="shared" si="32"/>
        <v>1690</v>
      </c>
      <c r="BV29" s="258">
        <f t="shared" si="32"/>
        <v>1690</v>
      </c>
      <c r="BW29" s="258">
        <f t="shared" si="32"/>
        <v>1690</v>
      </c>
      <c r="BX29" s="255">
        <v>0.04</v>
      </c>
      <c r="BY29" s="447">
        <f>ROUND($BX$4*'Tab H'!K28,0)</f>
        <v>5788</v>
      </c>
      <c r="BZ29" s="493">
        <f>ROUND($BX$4*'Tab H'!L28,0)</f>
        <v>4341</v>
      </c>
      <c r="CA29" s="447">
        <f>ROUND($BX$4*'Tab H'!M28,0)</f>
        <v>5962</v>
      </c>
      <c r="CB29" s="447">
        <f>ROUND($BX$4*'Tab H'!N28,0)</f>
        <v>6141</v>
      </c>
      <c r="CC29" s="447">
        <f>ROUND($BX$4*'Tab H'!O28,0)</f>
        <v>6325</v>
      </c>
      <c r="CD29" s="447">
        <f>ROUND($BX$4*'Tab H'!P28,0)</f>
        <v>6515</v>
      </c>
      <c r="CE29" s="447">
        <f>ROUND($BX$4*'Tab H'!Q28,0)</f>
        <v>6760</v>
      </c>
      <c r="CF29" s="260">
        <v>0.21</v>
      </c>
      <c r="CG29" s="256">
        <f>($CF$4*'Tab H'!K28)</f>
        <v>30387.84</v>
      </c>
      <c r="CH29" s="256">
        <f>($CF$4*'Tab H'!L28)</f>
        <v>22790.879999999997</v>
      </c>
      <c r="CI29" s="256">
        <f>($CF$4*'Tab H'!M28)</f>
        <v>31299.475199999997</v>
      </c>
      <c r="CJ29" s="256">
        <f>($CF$4*'Tab H'!N28)</f>
        <v>32238.459455999997</v>
      </c>
      <c r="CK29" s="256">
        <f>($CF$4*'Tab H'!O28)</f>
        <v>33205.613239680002</v>
      </c>
      <c r="CL29" s="256">
        <f>($CF$4*'Tab H'!P28)</f>
        <v>34201.781636870401</v>
      </c>
      <c r="CM29" s="206">
        <f>ROUND($CF$4*'Tab H'!Q28,0)</f>
        <v>35491</v>
      </c>
      <c r="CN29" s="257">
        <f>ROUND($CF$4*'Tab H'!R28,0)</f>
        <v>35491</v>
      </c>
      <c r="CO29" s="258">
        <f t="shared" si="33"/>
        <v>8872.75</v>
      </c>
      <c r="CP29" s="258">
        <f t="shared" si="33"/>
        <v>8872.75</v>
      </c>
      <c r="CQ29" s="258">
        <f t="shared" si="33"/>
        <v>8872.75</v>
      </c>
      <c r="CR29" s="258">
        <f t="shared" si="33"/>
        <v>8872.75</v>
      </c>
      <c r="CS29" s="206">
        <v>8.0000000000000002E-3</v>
      </c>
      <c r="CT29" s="206">
        <v>8.0000000000000002E-3</v>
      </c>
      <c r="CU29" s="206">
        <v>8.0000000000000002E-3</v>
      </c>
      <c r="CV29" s="206">
        <v>8.0000000000000002E-3</v>
      </c>
      <c r="CW29" s="206">
        <v>8.0000000000000002E-3</v>
      </c>
      <c r="CX29" s="206">
        <v>8.0000000000000002E-3</v>
      </c>
      <c r="CY29" s="206">
        <v>8.0000000000000002E-3</v>
      </c>
      <c r="CZ29" s="259">
        <f t="shared" si="13"/>
        <v>8.0000000000000002E-3</v>
      </c>
      <c r="DA29" s="259">
        <f t="shared" si="14"/>
        <v>8.0000000000000002E-3</v>
      </c>
      <c r="DB29" s="259">
        <f t="shared" si="15"/>
        <v>8.0000000000000002E-3</v>
      </c>
      <c r="DC29" s="259">
        <f t="shared" si="16"/>
        <v>8.0000000000000002E-3</v>
      </c>
      <c r="DD29" s="259">
        <f t="shared" si="17"/>
        <v>8.0000000000000002E-3</v>
      </c>
      <c r="DE29" s="259">
        <f t="shared" si="18"/>
        <v>8.0000000000000002E-3</v>
      </c>
      <c r="DF29" s="256">
        <f t="shared" si="34"/>
        <v>243.10272000000001</v>
      </c>
      <c r="DG29" s="256">
        <f t="shared" si="35"/>
        <v>182.32703999999998</v>
      </c>
      <c r="DH29" s="256">
        <f t="shared" si="36"/>
        <v>250.39580159999997</v>
      </c>
      <c r="DI29" s="256">
        <f t="shared" si="37"/>
        <v>257.90767564800001</v>
      </c>
      <c r="DJ29" s="256">
        <f t="shared" si="38"/>
        <v>265.64490591744004</v>
      </c>
      <c r="DK29" s="256">
        <f t="shared" si="39"/>
        <v>273.6142530949632</v>
      </c>
      <c r="DL29" s="206">
        <f t="shared" si="40"/>
        <v>284</v>
      </c>
      <c r="DM29" s="257">
        <f t="shared" si="20"/>
        <v>284</v>
      </c>
      <c r="DN29" s="258">
        <f t="shared" si="41"/>
        <v>71</v>
      </c>
      <c r="DO29" s="258">
        <f t="shared" si="41"/>
        <v>71</v>
      </c>
      <c r="DP29" s="258">
        <f t="shared" si="41"/>
        <v>71</v>
      </c>
      <c r="DQ29" s="258">
        <f t="shared" si="41"/>
        <v>71</v>
      </c>
    </row>
    <row r="30" spans="1:121" x14ac:dyDescent="0.3">
      <c r="A30" s="750"/>
      <c r="B30" s="205" t="s">
        <v>159</v>
      </c>
      <c r="C30" s="206">
        <v>12</v>
      </c>
      <c r="D30" s="255">
        <v>3.49E-2</v>
      </c>
      <c r="E30" s="256">
        <f>($D$4*'Tab H'!K29)</f>
        <v>4132.0553</v>
      </c>
      <c r="F30" s="256">
        <f>($D$4*'Tab H'!L29)</f>
        <v>3099.041475</v>
      </c>
      <c r="G30" s="256">
        <f>($D$4*'Tab H'!M29)</f>
        <v>4256.0169590000005</v>
      </c>
      <c r="H30" s="256">
        <f>($D$4*'Tab H'!N29)</f>
        <v>4383.69746777</v>
      </c>
      <c r="I30" s="256">
        <f>($D$4*'Tab H'!O29)</f>
        <v>4515.2083918031003</v>
      </c>
      <c r="J30" s="256">
        <f>($D$4*'Tab H'!P29)</f>
        <v>4650.6646435571929</v>
      </c>
      <c r="K30" s="206">
        <f>ROUND($D$4*'Tab H'!Q29,0)</f>
        <v>4826</v>
      </c>
      <c r="L30" s="257">
        <f>ROUND($D$4*'Tab H'!R29,0)</f>
        <v>4826</v>
      </c>
      <c r="M30" s="258">
        <f t="shared" si="42"/>
        <v>1206.5</v>
      </c>
      <c r="N30" s="258">
        <f t="shared" si="42"/>
        <v>1206.5</v>
      </c>
      <c r="O30" s="258">
        <f t="shared" si="42"/>
        <v>1206.5</v>
      </c>
      <c r="P30" s="258">
        <f t="shared" si="42"/>
        <v>1206.5</v>
      </c>
      <c r="Q30" s="255">
        <v>3.49E-2</v>
      </c>
      <c r="R30" s="447">
        <f>ROUND($D$4*'Tab H'!K29,0)</f>
        <v>4132</v>
      </c>
      <c r="S30" s="493">
        <f>ROUND($D$4*'Tab H'!L29,0)</f>
        <v>3099</v>
      </c>
      <c r="T30" s="447">
        <f>ROUND($D$4*'Tab H'!M29,0)</f>
        <v>4256</v>
      </c>
      <c r="U30" s="447">
        <f>ROUND($D$4*'Tab H'!N29,0)</f>
        <v>4384</v>
      </c>
      <c r="V30" s="447">
        <f>ROUND($D$4*'Tab H'!O29,0)</f>
        <v>4515</v>
      </c>
      <c r="W30" s="447">
        <f>ROUND($D$4*'Tab H'!P29,0)</f>
        <v>4651</v>
      </c>
      <c r="X30" s="447">
        <f>ROUND($D$4*'Tab H'!Q29,0)</f>
        <v>4826</v>
      </c>
      <c r="Y30" s="259">
        <v>0.189</v>
      </c>
      <c r="Z30" s="256">
        <f>(0.18*'Tab H'!K29)</f>
        <v>21311.46</v>
      </c>
      <c r="AA30" s="256">
        <f>(0.18*'Tab H'!L29)</f>
        <v>15983.594999999999</v>
      </c>
      <c r="AB30" s="256">
        <f>(0.18*'Tab H'!M29)</f>
        <v>21950.803800000002</v>
      </c>
      <c r="AC30" s="256">
        <f>(0.18*'Tab H'!N29)</f>
        <v>22609.327914000001</v>
      </c>
      <c r="AD30" s="256">
        <f>(0.18*'Tab H'!O29)</f>
        <v>23287.607751420001</v>
      </c>
      <c r="AE30" s="256">
        <f>(0.18*'Tab H'!P29)</f>
        <v>23986.235983962601</v>
      </c>
      <c r="AF30" s="206">
        <f>ROUND($Y$4*'Tab H'!Q29,0)</f>
        <v>26135</v>
      </c>
      <c r="AG30" s="257">
        <f>ROUND($Y$4*'Tab H'!R29,0)</f>
        <v>26135</v>
      </c>
      <c r="AH30" s="258">
        <f t="shared" si="22"/>
        <v>6533.75</v>
      </c>
      <c r="AI30" s="258">
        <f t="shared" si="22"/>
        <v>6533.75</v>
      </c>
      <c r="AJ30" s="258">
        <f t="shared" si="22"/>
        <v>6533.75</v>
      </c>
      <c r="AK30" s="258">
        <f t="shared" si="22"/>
        <v>6533.75</v>
      </c>
      <c r="AL30" s="206">
        <v>0.15</v>
      </c>
      <c r="AM30" s="206">
        <v>0.15</v>
      </c>
      <c r="AN30" s="206">
        <v>0.15</v>
      </c>
      <c r="AO30" s="206">
        <v>0.15</v>
      </c>
      <c r="AP30" s="206">
        <v>0.15</v>
      </c>
      <c r="AQ30" s="206">
        <v>0.15</v>
      </c>
      <c r="AR30" s="206">
        <v>0.15</v>
      </c>
      <c r="AS30" s="260">
        <f t="shared" si="2"/>
        <v>0.15</v>
      </c>
      <c r="AT30" s="260">
        <f t="shared" si="3"/>
        <v>0.15</v>
      </c>
      <c r="AU30" s="260">
        <f t="shared" si="4"/>
        <v>0.15</v>
      </c>
      <c r="AV30" s="260">
        <f t="shared" si="5"/>
        <v>0.15</v>
      </c>
      <c r="AW30" s="260">
        <f t="shared" si="6"/>
        <v>0.15</v>
      </c>
      <c r="AX30" s="260">
        <f t="shared" si="7"/>
        <v>0.15</v>
      </c>
      <c r="AY30" s="256">
        <f t="shared" si="23"/>
        <v>3196.7189999999996</v>
      </c>
      <c r="AZ30" s="256">
        <f t="shared" si="24"/>
        <v>2397.5392499999998</v>
      </c>
      <c r="BA30" s="256">
        <f t="shared" si="25"/>
        <v>3292.62057</v>
      </c>
      <c r="BB30" s="256">
        <f t="shared" si="26"/>
        <v>3391.3991871000003</v>
      </c>
      <c r="BC30" s="256">
        <f t="shared" si="27"/>
        <v>3493.1411627130001</v>
      </c>
      <c r="BD30" s="256">
        <f t="shared" si="28"/>
        <v>3597.93539759439</v>
      </c>
      <c r="BE30" s="206">
        <f t="shared" si="29"/>
        <v>3920</v>
      </c>
      <c r="BF30" s="257">
        <f t="shared" si="9"/>
        <v>3920</v>
      </c>
      <c r="BG30" s="258">
        <f t="shared" si="30"/>
        <v>980</v>
      </c>
      <c r="BH30" s="258">
        <f t="shared" si="30"/>
        <v>980</v>
      </c>
      <c r="BI30" s="258">
        <f t="shared" si="30"/>
        <v>980</v>
      </c>
      <c r="BJ30" s="258">
        <f t="shared" si="30"/>
        <v>980</v>
      </c>
      <c r="BK30" s="260">
        <v>0.04</v>
      </c>
      <c r="BL30" s="256">
        <f>($BK$4*'Tab H'!K29)</f>
        <v>4735.88</v>
      </c>
      <c r="BM30" s="256">
        <f>($BK$4*'Tab H'!L29)</f>
        <v>3551.91</v>
      </c>
      <c r="BN30" s="256">
        <f>($BK$4*'Tab H'!M29)</f>
        <v>4877.9564</v>
      </c>
      <c r="BO30" s="256">
        <f>($BK$4*'Tab H'!N29)</f>
        <v>5024.2950920000003</v>
      </c>
      <c r="BP30" s="256">
        <f>($BK$4*'Tab H'!O29)</f>
        <v>5175.0239447600006</v>
      </c>
      <c r="BQ30" s="256">
        <f>($BK$4*'Tab H'!P29)</f>
        <v>5330.2746631028003</v>
      </c>
      <c r="BR30" s="256">
        <f t="shared" si="31"/>
        <v>5531</v>
      </c>
      <c r="BS30" s="257">
        <f>ROUND($BK$4*'Tab H'!R29,0)</f>
        <v>5531</v>
      </c>
      <c r="BT30" s="258">
        <f t="shared" si="32"/>
        <v>1382.75</v>
      </c>
      <c r="BU30" s="258">
        <f t="shared" si="32"/>
        <v>1382.75</v>
      </c>
      <c r="BV30" s="258">
        <f t="shared" si="32"/>
        <v>1382.75</v>
      </c>
      <c r="BW30" s="258">
        <f t="shared" si="32"/>
        <v>1382.75</v>
      </c>
      <c r="BX30" s="255">
        <v>0.04</v>
      </c>
      <c r="BY30" s="447">
        <f>ROUND($BX$4*'Tab H'!K29,0)</f>
        <v>4736</v>
      </c>
      <c r="BZ30" s="493">
        <f>ROUND($BX$4*'Tab H'!L29,0)</f>
        <v>3552</v>
      </c>
      <c r="CA30" s="447">
        <f>ROUND($BX$4*'Tab H'!M29,0)</f>
        <v>4878</v>
      </c>
      <c r="CB30" s="447">
        <f>ROUND($BX$4*'Tab H'!N29,0)</f>
        <v>5024</v>
      </c>
      <c r="CC30" s="447">
        <f>ROUND($BX$4*'Tab H'!O29,0)</f>
        <v>5175</v>
      </c>
      <c r="CD30" s="447">
        <f>ROUND($BX$4*'Tab H'!P29,0)</f>
        <v>5330</v>
      </c>
      <c r="CE30" s="447">
        <f>ROUND($BX$4*'Tab H'!Q29,0)</f>
        <v>5531</v>
      </c>
      <c r="CF30" s="260">
        <v>0.21</v>
      </c>
      <c r="CG30" s="256">
        <f>($CF$4*'Tab H'!K29)</f>
        <v>24863.37</v>
      </c>
      <c r="CH30" s="256">
        <f>($CF$4*'Tab H'!L29)</f>
        <v>18647.5275</v>
      </c>
      <c r="CI30" s="256">
        <f>($CF$4*'Tab H'!M29)</f>
        <v>25609.271099999998</v>
      </c>
      <c r="CJ30" s="256">
        <f>($CF$4*'Tab H'!N29)</f>
        <v>26377.549233000002</v>
      </c>
      <c r="CK30" s="256">
        <f>($CF$4*'Tab H'!O29)</f>
        <v>27168.875709990003</v>
      </c>
      <c r="CL30" s="256">
        <f>($CF$4*'Tab H'!P29)</f>
        <v>27983.941981289699</v>
      </c>
      <c r="CM30" s="206">
        <f>ROUND($CF$4*'Tab H'!Q29,0)</f>
        <v>29039</v>
      </c>
      <c r="CN30" s="257">
        <f>ROUND($CF$4*'Tab H'!R29,0)</f>
        <v>29039</v>
      </c>
      <c r="CO30" s="258">
        <f t="shared" si="33"/>
        <v>7259.75</v>
      </c>
      <c r="CP30" s="258">
        <f t="shared" si="33"/>
        <v>7259.75</v>
      </c>
      <c r="CQ30" s="258">
        <f t="shared" si="33"/>
        <v>7259.75</v>
      </c>
      <c r="CR30" s="258">
        <f t="shared" si="33"/>
        <v>7259.75</v>
      </c>
      <c r="CS30" s="206">
        <v>8.0000000000000002E-3</v>
      </c>
      <c r="CT30" s="206">
        <v>8.0000000000000002E-3</v>
      </c>
      <c r="CU30" s="206">
        <v>8.0000000000000002E-3</v>
      </c>
      <c r="CV30" s="206">
        <v>8.0000000000000002E-3</v>
      </c>
      <c r="CW30" s="206">
        <v>8.0000000000000002E-3</v>
      </c>
      <c r="CX30" s="206">
        <v>8.0000000000000002E-3</v>
      </c>
      <c r="CY30" s="206">
        <v>8.0000000000000002E-3</v>
      </c>
      <c r="CZ30" s="259">
        <f t="shared" si="13"/>
        <v>8.0000000000000002E-3</v>
      </c>
      <c r="DA30" s="259">
        <f t="shared" si="14"/>
        <v>8.0000000000000002E-3</v>
      </c>
      <c r="DB30" s="259">
        <f t="shared" si="15"/>
        <v>8.0000000000000002E-3</v>
      </c>
      <c r="DC30" s="259">
        <f t="shared" si="16"/>
        <v>8.0000000000000002E-3</v>
      </c>
      <c r="DD30" s="259">
        <f t="shared" si="17"/>
        <v>8.0000000000000002E-3</v>
      </c>
      <c r="DE30" s="259">
        <f t="shared" si="18"/>
        <v>8.0000000000000002E-3</v>
      </c>
      <c r="DF30" s="256">
        <f t="shared" si="34"/>
        <v>198.90696</v>
      </c>
      <c r="DG30" s="256">
        <f t="shared" si="35"/>
        <v>149.18021999999999</v>
      </c>
      <c r="DH30" s="256">
        <f t="shared" si="36"/>
        <v>204.87416879999998</v>
      </c>
      <c r="DI30" s="256">
        <f t="shared" si="37"/>
        <v>211.02039386400003</v>
      </c>
      <c r="DJ30" s="256">
        <f t="shared" si="38"/>
        <v>217.35100567992004</v>
      </c>
      <c r="DK30" s="256">
        <f t="shared" si="39"/>
        <v>223.8715358503176</v>
      </c>
      <c r="DL30" s="206">
        <f t="shared" si="40"/>
        <v>232</v>
      </c>
      <c r="DM30" s="257">
        <f t="shared" si="20"/>
        <v>232</v>
      </c>
      <c r="DN30" s="258">
        <f t="shared" si="41"/>
        <v>58</v>
      </c>
      <c r="DO30" s="258">
        <f t="shared" si="41"/>
        <v>58</v>
      </c>
      <c r="DP30" s="258">
        <f t="shared" si="41"/>
        <v>58</v>
      </c>
      <c r="DQ30" s="258">
        <f t="shared" si="41"/>
        <v>58</v>
      </c>
    </row>
    <row r="31" spans="1:121" x14ac:dyDescent="0.3">
      <c r="A31" s="750"/>
      <c r="B31" s="205" t="s">
        <v>160</v>
      </c>
      <c r="C31" s="206">
        <v>23</v>
      </c>
      <c r="D31" s="255">
        <v>3.49E-2</v>
      </c>
      <c r="E31" s="256">
        <f>($D$4*'Tab H'!K30)</f>
        <v>12173.2945</v>
      </c>
      <c r="F31" s="256">
        <f>($D$4*'Tab H'!L30)</f>
        <v>9129.9708750000009</v>
      </c>
      <c r="G31" s="256">
        <f>($D$4*'Tab H'!M30)</f>
        <v>12538.493335000001</v>
      </c>
      <c r="H31" s="256">
        <f>($D$4*'Tab H'!N30)</f>
        <v>12914.64813505</v>
      </c>
      <c r="I31" s="256">
        <f>($D$4*'Tab H'!O30)</f>
        <v>13302.087579101502</v>
      </c>
      <c r="J31" s="256">
        <f>($D$4*'Tab H'!P30)</f>
        <v>13701.150206474547</v>
      </c>
      <c r="K31" s="206">
        <f>ROUND($D$4*'Tab H'!Q30,0)</f>
        <v>14218</v>
      </c>
      <c r="L31" s="257">
        <f>ROUND($D$4*'Tab H'!R30,0)</f>
        <v>14218</v>
      </c>
      <c r="M31" s="258">
        <f t="shared" si="42"/>
        <v>3554.5</v>
      </c>
      <c r="N31" s="258">
        <f t="shared" si="42"/>
        <v>3554.5</v>
      </c>
      <c r="O31" s="258">
        <f t="shared" si="42"/>
        <v>3554.5</v>
      </c>
      <c r="P31" s="258">
        <f t="shared" si="42"/>
        <v>3554.5</v>
      </c>
      <c r="Q31" s="255">
        <v>3.49E-2</v>
      </c>
      <c r="S31" s="493"/>
      <c r="W31" s="447">
        <f>ROUND($D$4*'Tab H'!P30,0)</f>
        <v>13701</v>
      </c>
      <c r="X31" s="447">
        <f>ROUND($D$4*'Tab H'!Q30,0)</f>
        <v>14218</v>
      </c>
      <c r="Y31" s="259">
        <v>0.189</v>
      </c>
      <c r="Z31" s="256">
        <f>(0.18*'Tab H'!K30)</f>
        <v>62784.899999999994</v>
      </c>
      <c r="AA31" s="256">
        <f>(0.18*'Tab H'!L30)</f>
        <v>47088.674999999996</v>
      </c>
      <c r="AB31" s="256">
        <f>(0.18*'Tab H'!M30)</f>
        <v>64668.447</v>
      </c>
      <c r="AC31" s="256">
        <f>(0.18*'Tab H'!N30)</f>
        <v>66608.500409999993</v>
      </c>
      <c r="AD31" s="256">
        <f>(0.18*'Tab H'!O30)</f>
        <v>68606.755422300004</v>
      </c>
      <c r="AE31" s="256">
        <f>(0.18*'Tab H'!P30)</f>
        <v>70664.95808496901</v>
      </c>
      <c r="AF31" s="206">
        <f>ROUND($Y$4*'Tab H'!Q30,0)</f>
        <v>76997</v>
      </c>
      <c r="AG31" s="257">
        <f>ROUND($Y$4*'Tab H'!R30,0)</f>
        <v>76997</v>
      </c>
      <c r="AH31" s="258">
        <f t="shared" si="22"/>
        <v>19249.25</v>
      </c>
      <c r="AI31" s="258">
        <f t="shared" si="22"/>
        <v>19249.25</v>
      </c>
      <c r="AJ31" s="258">
        <f t="shared" si="22"/>
        <v>19249.25</v>
      </c>
      <c r="AK31" s="258">
        <f t="shared" si="22"/>
        <v>19249.25</v>
      </c>
      <c r="AL31" s="206">
        <v>0.15</v>
      </c>
      <c r="AM31" s="206">
        <v>0.15</v>
      </c>
      <c r="AN31" s="206">
        <v>0.15</v>
      </c>
      <c r="AO31" s="206">
        <v>0.15</v>
      </c>
      <c r="AP31" s="206">
        <v>0.15</v>
      </c>
      <c r="AQ31" s="206">
        <v>0.15</v>
      </c>
      <c r="AR31" s="206">
        <v>0.15</v>
      </c>
      <c r="AS31" s="260">
        <f t="shared" si="2"/>
        <v>0.15</v>
      </c>
      <c r="AT31" s="260">
        <f t="shared" si="3"/>
        <v>0.15</v>
      </c>
      <c r="AU31" s="260">
        <f t="shared" si="4"/>
        <v>0.15</v>
      </c>
      <c r="AV31" s="260">
        <f t="shared" si="5"/>
        <v>0.15</v>
      </c>
      <c r="AW31" s="260">
        <f t="shared" si="6"/>
        <v>0.15</v>
      </c>
      <c r="AX31" s="260">
        <f t="shared" si="7"/>
        <v>0.15</v>
      </c>
      <c r="AY31" s="256">
        <f t="shared" si="23"/>
        <v>9417.7349999999988</v>
      </c>
      <c r="AZ31" s="256">
        <f t="shared" si="24"/>
        <v>7063.3012499999995</v>
      </c>
      <c r="BA31" s="256">
        <f t="shared" si="25"/>
        <v>9700.2670500000004</v>
      </c>
      <c r="BB31" s="256">
        <f t="shared" si="26"/>
        <v>9991.2750614999986</v>
      </c>
      <c r="BC31" s="256">
        <f t="shared" si="27"/>
        <v>10291.013313345</v>
      </c>
      <c r="BD31" s="256">
        <f t="shared" si="28"/>
        <v>10599.74371274535</v>
      </c>
      <c r="BE31" s="206">
        <f t="shared" si="29"/>
        <v>11550</v>
      </c>
      <c r="BF31" s="257">
        <f t="shared" si="9"/>
        <v>11550</v>
      </c>
      <c r="BG31" s="258">
        <f t="shared" si="30"/>
        <v>2887.5</v>
      </c>
      <c r="BH31" s="258">
        <f t="shared" si="30"/>
        <v>2887.5</v>
      </c>
      <c r="BI31" s="258">
        <f t="shared" si="30"/>
        <v>2887.5</v>
      </c>
      <c r="BJ31" s="258">
        <f t="shared" si="30"/>
        <v>2887.5</v>
      </c>
      <c r="BK31" s="260">
        <v>0.04</v>
      </c>
      <c r="BL31" s="256">
        <f>($BK$4*'Tab H'!K30)</f>
        <v>13952.2</v>
      </c>
      <c r="BM31" s="256">
        <f>($BK$4*'Tab H'!L30)</f>
        <v>10464.15</v>
      </c>
      <c r="BN31" s="256">
        <f>($BK$4*'Tab H'!M30)</f>
        <v>14370.766000000001</v>
      </c>
      <c r="BO31" s="256">
        <f>($BK$4*'Tab H'!N30)</f>
        <v>14801.888980000002</v>
      </c>
      <c r="BP31" s="256">
        <f>($BK$4*'Tab H'!O30)</f>
        <v>15245.945649400002</v>
      </c>
      <c r="BQ31" s="256">
        <f>($BK$4*'Tab H'!P30)</f>
        <v>15703.324018882004</v>
      </c>
      <c r="BR31" s="256">
        <f t="shared" si="31"/>
        <v>16296</v>
      </c>
      <c r="BS31" s="257">
        <f>ROUND($BK$4*'Tab H'!R30,0)</f>
        <v>16296</v>
      </c>
      <c r="BT31" s="258">
        <f t="shared" si="32"/>
        <v>4074</v>
      </c>
      <c r="BU31" s="258">
        <f t="shared" si="32"/>
        <v>4074</v>
      </c>
      <c r="BV31" s="258">
        <f t="shared" si="32"/>
        <v>4074</v>
      </c>
      <c r="BW31" s="258">
        <f t="shared" si="32"/>
        <v>4074</v>
      </c>
      <c r="BX31" s="255">
        <v>0.04</v>
      </c>
      <c r="BZ31" s="493"/>
      <c r="CD31" s="447">
        <f>ROUND($BX$4*'Tab H'!P30,0)</f>
        <v>15703</v>
      </c>
      <c r="CE31" s="447">
        <f>ROUND($BX$4*'Tab H'!Q30,0)</f>
        <v>16296</v>
      </c>
      <c r="CF31" s="260">
        <v>0.21</v>
      </c>
      <c r="CG31" s="256">
        <f>($CF$4*'Tab H'!K30)</f>
        <v>73249.05</v>
      </c>
      <c r="CH31" s="256">
        <f>($CF$4*'Tab H'!L30)</f>
        <v>54936.787499999999</v>
      </c>
      <c r="CI31" s="256">
        <f>($CF$4*'Tab H'!M30)</f>
        <v>75446.521500000003</v>
      </c>
      <c r="CJ31" s="256">
        <f>($CF$4*'Tab H'!N30)</f>
        <v>77709.917144999999</v>
      </c>
      <c r="CK31" s="256">
        <f>($CF$4*'Tab H'!O30)</f>
        <v>80041.214659350007</v>
      </c>
      <c r="CL31" s="256">
        <f>($CF$4*'Tab H'!P30)</f>
        <v>82442.451099130514</v>
      </c>
      <c r="CM31" s="206">
        <f>ROUND($CF$4*'Tab H'!Q30,0)</f>
        <v>85552</v>
      </c>
      <c r="CN31" s="257">
        <f>ROUND($CF$4*'Tab H'!R30,0)</f>
        <v>85552</v>
      </c>
      <c r="CO31" s="258">
        <f t="shared" si="33"/>
        <v>21388</v>
      </c>
      <c r="CP31" s="258">
        <f t="shared" si="33"/>
        <v>21388</v>
      </c>
      <c r="CQ31" s="258">
        <f t="shared" si="33"/>
        <v>21388</v>
      </c>
      <c r="CR31" s="258">
        <f t="shared" si="33"/>
        <v>21388</v>
      </c>
      <c r="CS31" s="206">
        <v>8.0000000000000002E-3</v>
      </c>
      <c r="CT31" s="206">
        <v>8.0000000000000002E-3</v>
      </c>
      <c r="CU31" s="206">
        <v>8.0000000000000002E-3</v>
      </c>
      <c r="CV31" s="206">
        <v>8.0000000000000002E-3</v>
      </c>
      <c r="CW31" s="206">
        <v>8.0000000000000002E-3</v>
      </c>
      <c r="CX31" s="206">
        <v>8.0000000000000002E-3</v>
      </c>
      <c r="CY31" s="206">
        <v>8.0000000000000002E-3</v>
      </c>
      <c r="CZ31" s="259">
        <f t="shared" si="13"/>
        <v>8.0000000000000002E-3</v>
      </c>
      <c r="DA31" s="259">
        <f t="shared" si="14"/>
        <v>8.0000000000000002E-3</v>
      </c>
      <c r="DB31" s="259">
        <f t="shared" si="15"/>
        <v>8.0000000000000002E-3</v>
      </c>
      <c r="DC31" s="259">
        <f t="shared" si="16"/>
        <v>8.0000000000000002E-3</v>
      </c>
      <c r="DD31" s="259">
        <f t="shared" si="17"/>
        <v>8.0000000000000002E-3</v>
      </c>
      <c r="DE31" s="259">
        <f t="shared" si="18"/>
        <v>8.0000000000000002E-3</v>
      </c>
      <c r="DF31" s="256">
        <f t="shared" si="34"/>
        <v>585.99240000000009</v>
      </c>
      <c r="DG31" s="256">
        <f t="shared" si="35"/>
        <v>439.49430000000001</v>
      </c>
      <c r="DH31" s="256">
        <f t="shared" si="36"/>
        <v>603.57217200000002</v>
      </c>
      <c r="DI31" s="256">
        <f t="shared" si="37"/>
        <v>621.67933716000005</v>
      </c>
      <c r="DJ31" s="256">
        <f t="shared" si="38"/>
        <v>640.32971727480003</v>
      </c>
      <c r="DK31" s="256">
        <f t="shared" si="39"/>
        <v>659.53960879304418</v>
      </c>
      <c r="DL31" s="206">
        <f t="shared" si="40"/>
        <v>684</v>
      </c>
      <c r="DM31" s="257">
        <f t="shared" si="20"/>
        <v>684</v>
      </c>
      <c r="DN31" s="258">
        <f t="shared" si="41"/>
        <v>171</v>
      </c>
      <c r="DO31" s="258">
        <f t="shared" si="41"/>
        <v>171</v>
      </c>
      <c r="DP31" s="258">
        <f t="shared" si="41"/>
        <v>171</v>
      </c>
      <c r="DQ31" s="258">
        <f t="shared" si="41"/>
        <v>171</v>
      </c>
    </row>
    <row r="32" spans="1:121" x14ac:dyDescent="0.3">
      <c r="A32" s="750" t="s">
        <v>129</v>
      </c>
      <c r="B32" s="205" t="s">
        <v>161</v>
      </c>
      <c r="C32" s="206">
        <v>8</v>
      </c>
      <c r="D32" s="255">
        <v>3.49E-2</v>
      </c>
      <c r="E32" s="256">
        <f>($D$4*'Tab H'!K31)</f>
        <v>2624.2705999999998</v>
      </c>
      <c r="F32" s="256">
        <f>($D$4*'Tab H'!L31)</f>
        <v>2624.2705999999998</v>
      </c>
      <c r="G32" s="256">
        <f>($D$4*'Tab H'!M31)</f>
        <v>2702.9987180000003</v>
      </c>
      <c r="H32" s="256">
        <f>($D$4*'Tab H'!N31)</f>
        <v>2784.0886795400006</v>
      </c>
      <c r="I32" s="256">
        <f>($D$4*'Tab H'!O31)</f>
        <v>2867.6113399262003</v>
      </c>
      <c r="J32" s="256">
        <f>($D$4*'Tab H'!P31)</f>
        <v>2953.6396801239866</v>
      </c>
      <c r="K32" s="206">
        <f>ROUND($D$4*'Tab H'!Q31,0)</f>
        <v>3065</v>
      </c>
      <c r="L32" s="257">
        <f>ROUND($D$4*'Tab H'!R31,0)</f>
        <v>3065</v>
      </c>
      <c r="M32" s="258">
        <f t="shared" si="42"/>
        <v>766.25</v>
      </c>
      <c r="N32" s="258">
        <f t="shared" si="42"/>
        <v>766.25</v>
      </c>
      <c r="O32" s="258">
        <f t="shared" si="42"/>
        <v>766.25</v>
      </c>
      <c r="P32" s="258">
        <f t="shared" si="42"/>
        <v>766.25</v>
      </c>
      <c r="Q32" s="255">
        <v>3.49E-2</v>
      </c>
      <c r="R32" s="447">
        <f>ROUND($D$4*'Tab H'!K31,0)</f>
        <v>2624</v>
      </c>
      <c r="S32" s="493">
        <f>ROUND($D$4*'Tab H'!L31,0)</f>
        <v>2624</v>
      </c>
      <c r="T32" s="447">
        <f>ROUND($D$4*'Tab H'!M31,0)</f>
        <v>2703</v>
      </c>
      <c r="U32" s="447">
        <f>ROUND($D$4*'Tab H'!N31,0)</f>
        <v>2784</v>
      </c>
      <c r="V32" s="447">
        <f>ROUND($D$4*'Tab H'!O31,0)</f>
        <v>2868</v>
      </c>
      <c r="Y32" s="259">
        <v>0.189</v>
      </c>
      <c r="Z32" s="256">
        <f>(0.18*'Tab H'!K31)</f>
        <v>13534.92</v>
      </c>
      <c r="AA32" s="256">
        <f>(0.18*'Tab H'!L31)</f>
        <v>13534.92</v>
      </c>
      <c r="AB32" s="256">
        <f>(0.18*'Tab H'!M31)</f>
        <v>13940.9676</v>
      </c>
      <c r="AC32" s="256">
        <f>(0.18*'Tab H'!N31)</f>
        <v>14359.196628000002</v>
      </c>
      <c r="AD32" s="256">
        <f>(0.18*'Tab H'!O31)</f>
        <v>14789.972526840002</v>
      </c>
      <c r="AE32" s="256">
        <f>(0.18*'Tab H'!P31)</f>
        <v>15233.671702645202</v>
      </c>
      <c r="AF32" s="206">
        <f>ROUND($Y$4*'Tab H'!Q31,0)</f>
        <v>16598</v>
      </c>
      <c r="AG32" s="257">
        <f>ROUND($Y$4*'Tab H'!R31,0)</f>
        <v>16598</v>
      </c>
      <c r="AH32" s="258">
        <f t="shared" si="22"/>
        <v>4149.5</v>
      </c>
      <c r="AI32" s="258">
        <f t="shared" si="22"/>
        <v>4149.5</v>
      </c>
      <c r="AJ32" s="258">
        <f t="shared" si="22"/>
        <v>4149.5</v>
      </c>
      <c r="AK32" s="258">
        <f t="shared" si="22"/>
        <v>4149.5</v>
      </c>
      <c r="AL32" s="206">
        <v>0.09</v>
      </c>
      <c r="AM32" s="206">
        <v>0.09</v>
      </c>
      <c r="AN32" s="206">
        <v>0.09</v>
      </c>
      <c r="AO32" s="206">
        <v>0.09</v>
      </c>
      <c r="AP32" s="206">
        <v>0.09</v>
      </c>
      <c r="AQ32" s="206">
        <v>0.09</v>
      </c>
      <c r="AR32" s="206">
        <v>0.09</v>
      </c>
      <c r="AS32" s="260">
        <f t="shared" si="2"/>
        <v>0.09</v>
      </c>
      <c r="AT32" s="260">
        <f t="shared" si="3"/>
        <v>0.09</v>
      </c>
      <c r="AU32" s="260">
        <f t="shared" si="4"/>
        <v>0.09</v>
      </c>
      <c r="AV32" s="260">
        <f t="shared" si="5"/>
        <v>0.09</v>
      </c>
      <c r="AW32" s="260">
        <f t="shared" si="6"/>
        <v>0.09</v>
      </c>
      <c r="AX32" s="260">
        <f t="shared" si="7"/>
        <v>0.09</v>
      </c>
      <c r="AY32" s="256">
        <f t="shared" si="23"/>
        <v>1218.1427999999999</v>
      </c>
      <c r="AZ32" s="256">
        <f t="shared" si="24"/>
        <v>1218.1427999999999</v>
      </c>
      <c r="BA32" s="256">
        <f t="shared" si="25"/>
        <v>1254.6870839999999</v>
      </c>
      <c r="BB32" s="256">
        <f t="shared" si="26"/>
        <v>1292.32769652</v>
      </c>
      <c r="BC32" s="256">
        <f t="shared" si="27"/>
        <v>1331.0975274156001</v>
      </c>
      <c r="BD32" s="256">
        <f t="shared" si="28"/>
        <v>1371.0304532380683</v>
      </c>
      <c r="BE32" s="206">
        <f t="shared" si="29"/>
        <v>1494</v>
      </c>
      <c r="BF32" s="257">
        <f t="shared" si="9"/>
        <v>1494</v>
      </c>
      <c r="BG32" s="258">
        <f t="shared" si="30"/>
        <v>373.5</v>
      </c>
      <c r="BH32" s="258">
        <f t="shared" si="30"/>
        <v>373.5</v>
      </c>
      <c r="BI32" s="258">
        <f t="shared" si="30"/>
        <v>373.5</v>
      </c>
      <c r="BJ32" s="258">
        <f t="shared" si="30"/>
        <v>373.5</v>
      </c>
      <c r="BK32" s="260">
        <v>0.04</v>
      </c>
      <c r="BL32" s="256">
        <f>($BK$4*'Tab H'!K31)</f>
        <v>3007.76</v>
      </c>
      <c r="BM32" s="256">
        <f>($BK$4*'Tab H'!L31)</f>
        <v>3007.76</v>
      </c>
      <c r="BN32" s="256">
        <f>($BK$4*'Tab H'!M31)</f>
        <v>3097.9928000000004</v>
      </c>
      <c r="BO32" s="256">
        <f>($BK$4*'Tab H'!N31)</f>
        <v>3190.9325840000006</v>
      </c>
      <c r="BP32" s="256">
        <f>($BK$4*'Tab H'!O31)</f>
        <v>3286.6605615200006</v>
      </c>
      <c r="BQ32" s="256">
        <f>($BK$4*'Tab H'!P31)</f>
        <v>3385.2603783656004</v>
      </c>
      <c r="BR32" s="256">
        <f t="shared" si="31"/>
        <v>3513</v>
      </c>
      <c r="BS32" s="257">
        <f>ROUND($BK$4*'Tab H'!R31,0)</f>
        <v>3513</v>
      </c>
      <c r="BT32" s="258">
        <f t="shared" si="32"/>
        <v>878.25</v>
      </c>
      <c r="BU32" s="258">
        <f t="shared" si="32"/>
        <v>878.25</v>
      </c>
      <c r="BV32" s="258">
        <f t="shared" si="32"/>
        <v>878.25</v>
      </c>
      <c r="BW32" s="258">
        <f t="shared" si="32"/>
        <v>878.25</v>
      </c>
      <c r="BX32" s="255">
        <v>0.04</v>
      </c>
      <c r="BY32" s="447">
        <f>ROUND($BX$4*'Tab H'!K31,0)</f>
        <v>3008</v>
      </c>
      <c r="BZ32" s="493">
        <f>ROUND($BX$4*'Tab H'!L31,0)</f>
        <v>3008</v>
      </c>
      <c r="CA32" s="447">
        <f>ROUND($BX$4*'Tab H'!M31,0)</f>
        <v>3098</v>
      </c>
      <c r="CB32" s="447">
        <f>ROUND($BX$4*'Tab H'!N31,0)</f>
        <v>3191</v>
      </c>
      <c r="CC32" s="447">
        <f>ROUND($BX$4*'Tab H'!O31,0)</f>
        <v>3287</v>
      </c>
      <c r="CF32" s="260">
        <v>0.21</v>
      </c>
      <c r="CG32" s="256">
        <f>($CF$4*'Tab H'!K31)</f>
        <v>15790.74</v>
      </c>
      <c r="CH32" s="256">
        <f>($CF$4*'Tab H'!L31)</f>
        <v>15790.74</v>
      </c>
      <c r="CI32" s="256">
        <f>($CF$4*'Tab H'!M31)</f>
        <v>16264.462200000002</v>
      </c>
      <c r="CJ32" s="256">
        <f>($CF$4*'Tab H'!N31)</f>
        <v>16752.396066000001</v>
      </c>
      <c r="CK32" s="256">
        <f>($CF$4*'Tab H'!O31)</f>
        <v>17254.96794798</v>
      </c>
      <c r="CL32" s="256">
        <f>($CF$4*'Tab H'!P31)</f>
        <v>17772.616986419402</v>
      </c>
      <c r="CM32" s="206">
        <f>ROUND($CF$4*'Tab H'!Q31,0)</f>
        <v>18443</v>
      </c>
      <c r="CN32" s="257">
        <f>ROUND($CF$4*'Tab H'!R31,0)</f>
        <v>18443</v>
      </c>
      <c r="CO32" s="258">
        <f t="shared" si="33"/>
        <v>4610.75</v>
      </c>
      <c r="CP32" s="258">
        <f t="shared" si="33"/>
        <v>4610.75</v>
      </c>
      <c r="CQ32" s="258">
        <f t="shared" si="33"/>
        <v>4610.75</v>
      </c>
      <c r="CR32" s="258">
        <f t="shared" si="33"/>
        <v>4610.75</v>
      </c>
      <c r="CS32" s="206">
        <v>0.05</v>
      </c>
      <c r="CT32" s="206">
        <v>0.05</v>
      </c>
      <c r="CU32" s="206">
        <v>0.05</v>
      </c>
      <c r="CV32" s="206">
        <v>0.05</v>
      </c>
      <c r="CW32" s="206">
        <v>0.05</v>
      </c>
      <c r="CX32" s="206">
        <v>0.05</v>
      </c>
      <c r="CY32" s="206">
        <v>0.05</v>
      </c>
      <c r="CZ32" s="259">
        <f t="shared" si="13"/>
        <v>0.05</v>
      </c>
      <c r="DA32" s="259">
        <f t="shared" si="14"/>
        <v>0.05</v>
      </c>
      <c r="DB32" s="259">
        <f t="shared" si="15"/>
        <v>0.05</v>
      </c>
      <c r="DC32" s="259">
        <f t="shared" si="16"/>
        <v>0.05</v>
      </c>
      <c r="DD32" s="259">
        <f t="shared" si="17"/>
        <v>0.05</v>
      </c>
      <c r="DE32" s="259">
        <f t="shared" si="18"/>
        <v>0.05</v>
      </c>
      <c r="DF32" s="256">
        <f t="shared" si="34"/>
        <v>789.53700000000003</v>
      </c>
      <c r="DG32" s="256">
        <f t="shared" si="35"/>
        <v>789.53700000000003</v>
      </c>
      <c r="DH32" s="256">
        <f t="shared" si="36"/>
        <v>813.22311000000013</v>
      </c>
      <c r="DI32" s="256">
        <f t="shared" si="37"/>
        <v>837.61980330000006</v>
      </c>
      <c r="DJ32" s="256">
        <f t="shared" si="38"/>
        <v>862.74839739900005</v>
      </c>
      <c r="DK32" s="256">
        <f t="shared" si="39"/>
        <v>888.63084932097013</v>
      </c>
      <c r="DL32" s="206">
        <f t="shared" si="40"/>
        <v>922</v>
      </c>
      <c r="DM32" s="257">
        <f t="shared" si="20"/>
        <v>922</v>
      </c>
      <c r="DN32" s="258">
        <f t="shared" si="41"/>
        <v>230.5</v>
      </c>
      <c r="DO32" s="258">
        <f t="shared" si="41"/>
        <v>230.5</v>
      </c>
      <c r="DP32" s="258">
        <f t="shared" si="41"/>
        <v>230.5</v>
      </c>
      <c r="DQ32" s="258">
        <f t="shared" si="41"/>
        <v>230.5</v>
      </c>
    </row>
    <row r="33" spans="1:121" x14ac:dyDescent="0.3">
      <c r="A33" s="750"/>
      <c r="B33" s="205" t="s">
        <v>162</v>
      </c>
      <c r="C33" s="206">
        <v>10</v>
      </c>
      <c r="D33" s="255">
        <v>3.49E-2</v>
      </c>
      <c r="E33" s="256">
        <f>($D$4*'Tab H'!K32)</f>
        <v>2355.75</v>
      </c>
      <c r="F33" s="256">
        <f>($D$4*'Tab H'!L32)</f>
        <v>2355.75</v>
      </c>
      <c r="G33" s="256">
        <f>($D$4*'Tab H'!M32)</f>
        <v>2426.4225000000001</v>
      </c>
      <c r="H33" s="256">
        <f>($D$4*'Tab H'!N32)</f>
        <v>2499.2151749999998</v>
      </c>
      <c r="I33" s="256">
        <f>($D$4*'Tab H'!O32)</f>
        <v>2574.1916302499999</v>
      </c>
      <c r="J33" s="256">
        <f>($D$4*'Tab H'!P32)</f>
        <v>2651.4173791574999</v>
      </c>
      <c r="K33" s="206">
        <f>ROUND($D$4*'Tab H'!Q32,0)</f>
        <v>2751</v>
      </c>
      <c r="L33" s="257">
        <f>ROUND($D$4*'Tab H'!R32,0)</f>
        <v>2751</v>
      </c>
      <c r="M33" s="258">
        <f t="shared" si="42"/>
        <v>687.75</v>
      </c>
      <c r="N33" s="258">
        <f t="shared" si="42"/>
        <v>687.75</v>
      </c>
      <c r="O33" s="258">
        <f t="shared" si="42"/>
        <v>687.75</v>
      </c>
      <c r="P33" s="258">
        <f t="shared" si="42"/>
        <v>687.75</v>
      </c>
      <c r="Q33" s="255">
        <v>3.49E-2</v>
      </c>
      <c r="R33" s="447">
        <f>ROUND($D$4*'Tab H'!K32,0)</f>
        <v>2356</v>
      </c>
      <c r="S33" s="493">
        <f>ROUND($D$4*'Tab H'!L32,0)</f>
        <v>2356</v>
      </c>
      <c r="T33" s="447">
        <f>ROUND($D$4*'Tab H'!M32,0)</f>
        <v>2426</v>
      </c>
      <c r="U33" s="447">
        <f>ROUND($D$4*'Tab H'!N32,0)</f>
        <v>2499</v>
      </c>
      <c r="V33" s="447">
        <f>ROUND($D$4*'Tab H'!O32,0)</f>
        <v>2574</v>
      </c>
      <c r="Y33" s="259">
        <v>0.189</v>
      </c>
      <c r="Z33" s="256">
        <f>(0.18*'Tab H'!K32)</f>
        <v>12150</v>
      </c>
      <c r="AA33" s="256">
        <f>(0.18*'Tab H'!L32)</f>
        <v>12150</v>
      </c>
      <c r="AB33" s="256">
        <f>(0.18*'Tab H'!M32)</f>
        <v>12514.5</v>
      </c>
      <c r="AC33" s="256">
        <f>(0.18*'Tab H'!N32)</f>
        <v>12889.934999999999</v>
      </c>
      <c r="AD33" s="256">
        <f>(0.18*'Tab H'!O32)</f>
        <v>13276.633049999999</v>
      </c>
      <c r="AE33" s="256">
        <f>(0.18*'Tab H'!P32)</f>
        <v>13674.9320415</v>
      </c>
      <c r="AF33" s="206">
        <f>ROUND($Y$4*'Tab H'!Q32,0)</f>
        <v>14900</v>
      </c>
      <c r="AG33" s="257">
        <f>ROUND($Y$4*'Tab H'!R32,0)</f>
        <v>14900</v>
      </c>
      <c r="AH33" s="258">
        <f t="shared" si="22"/>
        <v>3725</v>
      </c>
      <c r="AI33" s="258">
        <f t="shared" si="22"/>
        <v>3725</v>
      </c>
      <c r="AJ33" s="258">
        <f t="shared" si="22"/>
        <v>3725</v>
      </c>
      <c r="AK33" s="258">
        <f t="shared" si="22"/>
        <v>3725</v>
      </c>
      <c r="AL33" s="206">
        <v>0.13</v>
      </c>
      <c r="AM33" s="206">
        <v>0.13</v>
      </c>
      <c r="AN33" s="206">
        <v>0.13</v>
      </c>
      <c r="AO33" s="206">
        <v>0.13</v>
      </c>
      <c r="AP33" s="206">
        <v>0.13</v>
      </c>
      <c r="AQ33" s="206">
        <v>0.13</v>
      </c>
      <c r="AR33" s="206">
        <v>0.13</v>
      </c>
      <c r="AS33" s="260">
        <f t="shared" si="2"/>
        <v>0.13</v>
      </c>
      <c r="AT33" s="260">
        <f t="shared" si="3"/>
        <v>0.13</v>
      </c>
      <c r="AU33" s="260">
        <f t="shared" si="4"/>
        <v>0.13</v>
      </c>
      <c r="AV33" s="260">
        <f t="shared" si="5"/>
        <v>0.13</v>
      </c>
      <c r="AW33" s="260">
        <f t="shared" si="6"/>
        <v>0.13</v>
      </c>
      <c r="AX33" s="260">
        <f t="shared" si="7"/>
        <v>0.13</v>
      </c>
      <c r="AY33" s="256">
        <f t="shared" si="23"/>
        <v>1579.5</v>
      </c>
      <c r="AZ33" s="256">
        <f t="shared" si="24"/>
        <v>1579.5</v>
      </c>
      <c r="BA33" s="256">
        <f t="shared" si="25"/>
        <v>1626.885</v>
      </c>
      <c r="BB33" s="256">
        <f t="shared" si="26"/>
        <v>1675.69155</v>
      </c>
      <c r="BC33" s="256">
        <f t="shared" si="27"/>
        <v>1725.9622964999999</v>
      </c>
      <c r="BD33" s="256">
        <f t="shared" si="28"/>
        <v>1777.7411653950001</v>
      </c>
      <c r="BE33" s="206">
        <f t="shared" si="29"/>
        <v>1937</v>
      </c>
      <c r="BF33" s="257">
        <f t="shared" si="9"/>
        <v>1937</v>
      </c>
      <c r="BG33" s="258">
        <f t="shared" si="30"/>
        <v>484.25</v>
      </c>
      <c r="BH33" s="258">
        <f t="shared" si="30"/>
        <v>484.25</v>
      </c>
      <c r="BI33" s="258">
        <f t="shared" si="30"/>
        <v>484.25</v>
      </c>
      <c r="BJ33" s="258">
        <f t="shared" si="30"/>
        <v>484.25</v>
      </c>
      <c r="BK33" s="260">
        <v>0.04</v>
      </c>
      <c r="BL33" s="256">
        <f>($BK$4*'Tab H'!K32)</f>
        <v>2700</v>
      </c>
      <c r="BM33" s="256">
        <f>($BK$4*'Tab H'!L32)</f>
        <v>2700</v>
      </c>
      <c r="BN33" s="256">
        <f>($BK$4*'Tab H'!M32)</f>
        <v>2781</v>
      </c>
      <c r="BO33" s="256">
        <f>($BK$4*'Tab H'!N32)</f>
        <v>2864.43</v>
      </c>
      <c r="BP33" s="256">
        <f>($BK$4*'Tab H'!O32)</f>
        <v>2950.3628999999996</v>
      </c>
      <c r="BQ33" s="256">
        <f>($BK$4*'Tab H'!P32)</f>
        <v>3038.873787</v>
      </c>
      <c r="BR33" s="256">
        <f t="shared" si="31"/>
        <v>3153</v>
      </c>
      <c r="BS33" s="257">
        <f>ROUND($BK$4*'Tab H'!R32,0)</f>
        <v>3153</v>
      </c>
      <c r="BT33" s="258">
        <f t="shared" si="32"/>
        <v>788.25</v>
      </c>
      <c r="BU33" s="258">
        <f t="shared" si="32"/>
        <v>788.25</v>
      </c>
      <c r="BV33" s="258">
        <f t="shared" si="32"/>
        <v>788.25</v>
      </c>
      <c r="BW33" s="258">
        <f t="shared" si="32"/>
        <v>788.25</v>
      </c>
      <c r="BX33" s="255">
        <v>0.04</v>
      </c>
      <c r="BY33" s="447">
        <f>ROUND($BX$4*'Tab H'!K32,0)</f>
        <v>2700</v>
      </c>
      <c r="BZ33" s="493">
        <f>ROUND($BX$4*'Tab H'!L32,0)</f>
        <v>2700</v>
      </c>
      <c r="CA33" s="447">
        <f>ROUND($BX$4*'Tab H'!M32,0)</f>
        <v>2781</v>
      </c>
      <c r="CB33" s="447">
        <f>ROUND($BX$4*'Tab H'!N32,0)</f>
        <v>2864</v>
      </c>
      <c r="CC33" s="447">
        <f>ROUND($BX$4*'Tab H'!O32,0)</f>
        <v>2950</v>
      </c>
      <c r="CF33" s="260">
        <v>0.21</v>
      </c>
      <c r="CG33" s="256">
        <f>($CF$4*'Tab H'!K32)</f>
        <v>14175</v>
      </c>
      <c r="CH33" s="256">
        <f>($CF$4*'Tab H'!L32)</f>
        <v>14175</v>
      </c>
      <c r="CI33" s="256">
        <f>($CF$4*'Tab H'!M32)</f>
        <v>14600.25</v>
      </c>
      <c r="CJ33" s="256">
        <f>($CF$4*'Tab H'!N32)</f>
        <v>15038.2575</v>
      </c>
      <c r="CK33" s="256">
        <f>($CF$4*'Tab H'!O32)</f>
        <v>15489.405224999999</v>
      </c>
      <c r="CL33" s="256">
        <f>($CF$4*'Tab H'!P32)</f>
        <v>15954.08738175</v>
      </c>
      <c r="CM33" s="206">
        <f>ROUND($CF$4*'Tab H'!Q32,0)</f>
        <v>16556</v>
      </c>
      <c r="CN33" s="257">
        <f>ROUND($CF$4*'Tab H'!R32,0)</f>
        <v>16556</v>
      </c>
      <c r="CO33" s="258">
        <f t="shared" si="33"/>
        <v>4139</v>
      </c>
      <c r="CP33" s="258">
        <f t="shared" si="33"/>
        <v>4139</v>
      </c>
      <c r="CQ33" s="258">
        <f t="shared" si="33"/>
        <v>4139</v>
      </c>
      <c r="CR33" s="258">
        <f t="shared" si="33"/>
        <v>4139</v>
      </c>
      <c r="CS33" s="206">
        <v>0.05</v>
      </c>
      <c r="CT33" s="206">
        <v>0.05</v>
      </c>
      <c r="CU33" s="206">
        <v>0.05</v>
      </c>
      <c r="CV33" s="206">
        <v>0.05</v>
      </c>
      <c r="CW33" s="206">
        <v>0.05</v>
      </c>
      <c r="CX33" s="206">
        <v>0.05</v>
      </c>
      <c r="CY33" s="206">
        <v>0.05</v>
      </c>
      <c r="CZ33" s="259">
        <f t="shared" si="13"/>
        <v>0.05</v>
      </c>
      <c r="DA33" s="259">
        <f t="shared" si="14"/>
        <v>0.05</v>
      </c>
      <c r="DB33" s="259">
        <f t="shared" si="15"/>
        <v>0.05</v>
      </c>
      <c r="DC33" s="259">
        <f t="shared" si="16"/>
        <v>0.05</v>
      </c>
      <c r="DD33" s="259">
        <f t="shared" si="17"/>
        <v>0.05</v>
      </c>
      <c r="DE33" s="259">
        <f t="shared" si="18"/>
        <v>0.05</v>
      </c>
      <c r="DF33" s="256">
        <f t="shared" si="34"/>
        <v>708.75</v>
      </c>
      <c r="DG33" s="256">
        <f t="shared" si="35"/>
        <v>708.75</v>
      </c>
      <c r="DH33" s="256">
        <f t="shared" si="36"/>
        <v>730.01250000000005</v>
      </c>
      <c r="DI33" s="256">
        <f t="shared" si="37"/>
        <v>751.91287499999999</v>
      </c>
      <c r="DJ33" s="256">
        <f t="shared" si="38"/>
        <v>774.47026125000002</v>
      </c>
      <c r="DK33" s="256">
        <f t="shared" si="39"/>
        <v>797.70436908750003</v>
      </c>
      <c r="DL33" s="206">
        <f t="shared" si="40"/>
        <v>828</v>
      </c>
      <c r="DM33" s="257">
        <f t="shared" si="20"/>
        <v>828</v>
      </c>
      <c r="DN33" s="258">
        <f t="shared" si="41"/>
        <v>207</v>
      </c>
      <c r="DO33" s="258">
        <f t="shared" si="41"/>
        <v>207</v>
      </c>
      <c r="DP33" s="258">
        <f t="shared" si="41"/>
        <v>207</v>
      </c>
      <c r="DQ33" s="258">
        <f t="shared" si="41"/>
        <v>207</v>
      </c>
    </row>
    <row r="34" spans="1:121" x14ac:dyDescent="0.3">
      <c r="A34" s="750"/>
      <c r="B34" s="205" t="s">
        <v>163</v>
      </c>
      <c r="C34" s="206">
        <v>18</v>
      </c>
      <c r="D34" s="255">
        <v>3.49E-2</v>
      </c>
      <c r="E34" s="256">
        <f>($D$4*'Tab H'!K33)</f>
        <v>4686.3720000000003</v>
      </c>
      <c r="F34" s="256">
        <f>($D$4*'Tab H'!L33)</f>
        <v>4686.3720000000003</v>
      </c>
      <c r="G34" s="256">
        <f>($D$4*'Tab H'!M33)</f>
        <v>4826.9631600000002</v>
      </c>
      <c r="H34" s="256">
        <f>($D$4*'Tab H'!N33)</f>
        <v>4971.7720547999998</v>
      </c>
      <c r="I34" s="256">
        <f>($D$4*'Tab H'!O33)</f>
        <v>5120.9252164440004</v>
      </c>
      <c r="J34" s="256">
        <f>($D$4*'Tab H'!P33)</f>
        <v>5274.5529729373211</v>
      </c>
      <c r="K34" s="206">
        <f>ROUND($D$4*'Tab H'!Q33,0)</f>
        <v>5474</v>
      </c>
      <c r="L34" s="257">
        <f>ROUND($D$4*'Tab H'!R33,0)</f>
        <v>5474</v>
      </c>
      <c r="M34" s="258">
        <f t="shared" si="42"/>
        <v>1368.5</v>
      </c>
      <c r="N34" s="258">
        <f t="shared" si="42"/>
        <v>1368.5</v>
      </c>
      <c r="O34" s="258">
        <f t="shared" si="42"/>
        <v>1368.5</v>
      </c>
      <c r="P34" s="258">
        <f t="shared" si="42"/>
        <v>1368.5</v>
      </c>
      <c r="Q34" s="255">
        <v>3.49E-2</v>
      </c>
      <c r="R34" s="447">
        <f>ROUND($D$4*'Tab H'!K33,0)</f>
        <v>4686</v>
      </c>
      <c r="S34" s="493">
        <f>ROUND($D$4*'Tab H'!L33,0)</f>
        <v>4686</v>
      </c>
      <c r="T34" s="447">
        <f>ROUND($D$4*'Tab H'!M33,0)</f>
        <v>4827</v>
      </c>
      <c r="U34" s="447">
        <f>ROUND($D$4*'Tab H'!N33,0)</f>
        <v>4972</v>
      </c>
      <c r="V34" s="447">
        <f>ROUND($D$4*'Tab H'!O33,0)</f>
        <v>5121</v>
      </c>
      <c r="Y34" s="259">
        <v>0.189</v>
      </c>
      <c r="Z34" s="256">
        <f>(0.18*'Tab H'!K33)</f>
        <v>24170.399999999998</v>
      </c>
      <c r="AA34" s="256">
        <f>(0.18*'Tab H'!L33)</f>
        <v>24170.399999999998</v>
      </c>
      <c r="AB34" s="256">
        <f>(0.18*'Tab H'!M33)</f>
        <v>24895.511999999999</v>
      </c>
      <c r="AC34" s="256">
        <f>(0.18*'Tab H'!N33)</f>
        <v>25642.377359999999</v>
      </c>
      <c r="AD34" s="256">
        <f>(0.18*'Tab H'!O33)</f>
        <v>26411.648680800001</v>
      </c>
      <c r="AE34" s="256">
        <f>(0.18*'Tab H'!P33)</f>
        <v>27203.998141224005</v>
      </c>
      <c r="AF34" s="206">
        <f>ROUND($Y$4*'Tab H'!Q33,0)</f>
        <v>29642</v>
      </c>
      <c r="AG34" s="257">
        <f>ROUND($Y$4*'Tab H'!R33,0)</f>
        <v>29642</v>
      </c>
      <c r="AH34" s="258">
        <f t="shared" si="22"/>
        <v>7410.5</v>
      </c>
      <c r="AI34" s="258">
        <f t="shared" si="22"/>
        <v>7410.5</v>
      </c>
      <c r="AJ34" s="258">
        <f t="shared" si="22"/>
        <v>7410.5</v>
      </c>
      <c r="AK34" s="258">
        <f t="shared" si="22"/>
        <v>7410.5</v>
      </c>
      <c r="AL34" s="206">
        <v>0.09</v>
      </c>
      <c r="AM34" s="206">
        <v>0.09</v>
      </c>
      <c r="AN34" s="206">
        <v>0.09</v>
      </c>
      <c r="AO34" s="206">
        <v>0.09</v>
      </c>
      <c r="AP34" s="206">
        <v>0.09</v>
      </c>
      <c r="AQ34" s="206">
        <v>0.09</v>
      </c>
      <c r="AR34" s="206">
        <v>0.09</v>
      </c>
      <c r="AS34" s="260">
        <f t="shared" si="2"/>
        <v>0.09</v>
      </c>
      <c r="AT34" s="260">
        <f t="shared" si="3"/>
        <v>0.09</v>
      </c>
      <c r="AU34" s="260">
        <f t="shared" si="4"/>
        <v>0.09</v>
      </c>
      <c r="AV34" s="260">
        <f t="shared" si="5"/>
        <v>0.09</v>
      </c>
      <c r="AW34" s="260">
        <f t="shared" si="6"/>
        <v>0.09</v>
      </c>
      <c r="AX34" s="260">
        <f t="shared" si="7"/>
        <v>0.09</v>
      </c>
      <c r="AY34" s="256">
        <f t="shared" si="23"/>
        <v>2175.3359999999998</v>
      </c>
      <c r="AZ34" s="256">
        <f t="shared" si="24"/>
        <v>2175.3359999999998</v>
      </c>
      <c r="BA34" s="256">
        <f t="shared" si="25"/>
        <v>2240.5960799999998</v>
      </c>
      <c r="BB34" s="256">
        <f t="shared" si="26"/>
        <v>2307.8139623999996</v>
      </c>
      <c r="BC34" s="256">
        <f t="shared" si="27"/>
        <v>2377.0483812719999</v>
      </c>
      <c r="BD34" s="256">
        <f t="shared" si="28"/>
        <v>2448.3598327101604</v>
      </c>
      <c r="BE34" s="206">
        <f t="shared" si="29"/>
        <v>2668</v>
      </c>
      <c r="BF34" s="257">
        <f t="shared" si="9"/>
        <v>2668</v>
      </c>
      <c r="BG34" s="258">
        <f t="shared" si="30"/>
        <v>667</v>
      </c>
      <c r="BH34" s="258">
        <f t="shared" si="30"/>
        <v>667</v>
      </c>
      <c r="BI34" s="258">
        <f t="shared" si="30"/>
        <v>667</v>
      </c>
      <c r="BJ34" s="258">
        <f t="shared" si="30"/>
        <v>667</v>
      </c>
      <c r="BK34" s="260">
        <v>0.04</v>
      </c>
      <c r="BL34" s="256">
        <f>($BK$4*'Tab H'!K33)</f>
        <v>5371.2</v>
      </c>
      <c r="BM34" s="256">
        <f>($BK$4*'Tab H'!L33)</f>
        <v>5371.2</v>
      </c>
      <c r="BN34" s="256">
        <f>($BK$4*'Tab H'!M33)</f>
        <v>5532.3360000000002</v>
      </c>
      <c r="BO34" s="256">
        <f>($BK$4*'Tab H'!N33)</f>
        <v>5698.3060800000003</v>
      </c>
      <c r="BP34" s="256">
        <f>($BK$4*'Tab H'!O33)</f>
        <v>5869.2552624000009</v>
      </c>
      <c r="BQ34" s="256">
        <f>($BK$4*'Tab H'!P33)</f>
        <v>6045.3329202720015</v>
      </c>
      <c r="BR34" s="256">
        <f t="shared" si="31"/>
        <v>6274</v>
      </c>
      <c r="BS34" s="257">
        <f>ROUND($BK$4*'Tab H'!R33,0)</f>
        <v>6274</v>
      </c>
      <c r="BT34" s="258">
        <f t="shared" si="32"/>
        <v>1568.5</v>
      </c>
      <c r="BU34" s="258">
        <f t="shared" si="32"/>
        <v>1568.5</v>
      </c>
      <c r="BV34" s="258">
        <f t="shared" si="32"/>
        <v>1568.5</v>
      </c>
      <c r="BW34" s="258">
        <f t="shared" si="32"/>
        <v>1568.5</v>
      </c>
      <c r="BX34" s="255">
        <v>0.04</v>
      </c>
      <c r="BY34" s="447">
        <f>ROUND($BX$4*'Tab H'!K33,0)</f>
        <v>5371</v>
      </c>
      <c r="BZ34" s="493">
        <f>ROUND($BX$4*'Tab H'!L33,0)</f>
        <v>5371</v>
      </c>
      <c r="CA34" s="447">
        <f>ROUND($BX$4*'Tab H'!M33,0)</f>
        <v>5532</v>
      </c>
      <c r="CB34" s="447">
        <f>ROUND($BX$4*'Tab H'!N33,0)</f>
        <v>5698</v>
      </c>
      <c r="CC34" s="447">
        <f>ROUND($BX$4*'Tab H'!O33,0)</f>
        <v>5869</v>
      </c>
      <c r="CF34" s="260">
        <v>0.21</v>
      </c>
      <c r="CG34" s="256">
        <f>($CF$4*'Tab H'!K33)</f>
        <v>28198.799999999999</v>
      </c>
      <c r="CH34" s="256">
        <f>($CF$4*'Tab H'!L33)</f>
        <v>28198.799999999999</v>
      </c>
      <c r="CI34" s="256">
        <f>($CF$4*'Tab H'!M33)</f>
        <v>29044.763999999999</v>
      </c>
      <c r="CJ34" s="256">
        <f>($CF$4*'Tab H'!N33)</f>
        <v>29916.106919999998</v>
      </c>
      <c r="CK34" s="256">
        <f>($CF$4*'Tab H'!O33)</f>
        <v>30813.5901276</v>
      </c>
      <c r="CL34" s="256">
        <f>($CF$4*'Tab H'!P33)</f>
        <v>31737.997831428005</v>
      </c>
      <c r="CM34" s="206">
        <f>ROUND($CF$4*'Tab H'!Q33,0)</f>
        <v>32936</v>
      </c>
      <c r="CN34" s="257">
        <f>ROUND($CF$4*'Tab H'!R33,0)</f>
        <v>32936</v>
      </c>
      <c r="CO34" s="258">
        <f t="shared" si="33"/>
        <v>8234</v>
      </c>
      <c r="CP34" s="258">
        <f t="shared" si="33"/>
        <v>8234</v>
      </c>
      <c r="CQ34" s="258">
        <f t="shared" si="33"/>
        <v>8234</v>
      </c>
      <c r="CR34" s="258">
        <f t="shared" si="33"/>
        <v>8234</v>
      </c>
      <c r="CS34" s="206">
        <v>0.05</v>
      </c>
      <c r="CT34" s="206">
        <v>0.05</v>
      </c>
      <c r="CU34" s="206">
        <v>0.05</v>
      </c>
      <c r="CV34" s="206">
        <v>0.05</v>
      </c>
      <c r="CW34" s="206">
        <v>0.05</v>
      </c>
      <c r="CX34" s="206">
        <v>0.05</v>
      </c>
      <c r="CY34" s="206">
        <v>0.05</v>
      </c>
      <c r="CZ34" s="259">
        <f t="shared" si="13"/>
        <v>0.05</v>
      </c>
      <c r="DA34" s="259">
        <f t="shared" si="14"/>
        <v>0.05</v>
      </c>
      <c r="DB34" s="259">
        <f t="shared" si="15"/>
        <v>0.05</v>
      </c>
      <c r="DC34" s="259">
        <f t="shared" si="16"/>
        <v>0.05</v>
      </c>
      <c r="DD34" s="259">
        <f t="shared" si="17"/>
        <v>0.05</v>
      </c>
      <c r="DE34" s="259">
        <f t="shared" si="18"/>
        <v>0.05</v>
      </c>
      <c r="DF34" s="256">
        <f t="shared" si="34"/>
        <v>1409.94</v>
      </c>
      <c r="DG34" s="256">
        <f t="shared" si="35"/>
        <v>1409.94</v>
      </c>
      <c r="DH34" s="256">
        <f t="shared" si="36"/>
        <v>1452.2382</v>
      </c>
      <c r="DI34" s="256">
        <f t="shared" si="37"/>
        <v>1495.8053460000001</v>
      </c>
      <c r="DJ34" s="256">
        <f t="shared" si="38"/>
        <v>1540.67950638</v>
      </c>
      <c r="DK34" s="256">
        <f t="shared" si="39"/>
        <v>1586.8998915714003</v>
      </c>
      <c r="DL34" s="206">
        <f t="shared" si="40"/>
        <v>1647</v>
      </c>
      <c r="DM34" s="257">
        <f t="shared" si="20"/>
        <v>1647</v>
      </c>
      <c r="DN34" s="258">
        <f t="shared" si="41"/>
        <v>411.75</v>
      </c>
      <c r="DO34" s="258">
        <f t="shared" si="41"/>
        <v>411.75</v>
      </c>
      <c r="DP34" s="258">
        <f t="shared" si="41"/>
        <v>411.75</v>
      </c>
      <c r="DQ34" s="258">
        <f t="shared" si="41"/>
        <v>411.75</v>
      </c>
    </row>
    <row r="35" spans="1:121" x14ac:dyDescent="0.3">
      <c r="A35" s="750"/>
      <c r="B35" s="205" t="s">
        <v>164</v>
      </c>
      <c r="C35" s="206">
        <v>19</v>
      </c>
      <c r="D35" s="255">
        <v>3.49E-2</v>
      </c>
      <c r="E35" s="256">
        <f>($D$4*'Tab H'!K34)</f>
        <v>4519.3056999999999</v>
      </c>
      <c r="F35" s="256">
        <f>($D$4*'Tab H'!L34)</f>
        <v>4519.3056999999999</v>
      </c>
      <c r="G35" s="256">
        <f>($D$4*'Tab H'!M34)</f>
        <v>4654.8848710000002</v>
      </c>
      <c r="H35" s="256">
        <f>($D$4*'Tab H'!N34)</f>
        <v>4794.5314171300006</v>
      </c>
      <c r="I35" s="256">
        <f>($D$4*'Tab H'!O34)</f>
        <v>4938.3673596439003</v>
      </c>
      <c r="J35" s="256">
        <f>($D$4*'Tab H'!P34)</f>
        <v>5086.5183804332182</v>
      </c>
      <c r="K35" s="206">
        <f>ROUND($D$4*'Tab H'!Q34,0)</f>
        <v>5278</v>
      </c>
      <c r="L35" s="257">
        <f>ROUND($D$4*'Tab H'!R34,0)</f>
        <v>5278</v>
      </c>
      <c r="M35" s="258">
        <f t="shared" si="42"/>
        <v>1319.5</v>
      </c>
      <c r="N35" s="258">
        <f t="shared" si="42"/>
        <v>1319.5</v>
      </c>
      <c r="O35" s="258">
        <f t="shared" si="42"/>
        <v>1319.5</v>
      </c>
      <c r="P35" s="258">
        <f t="shared" si="42"/>
        <v>1319.5</v>
      </c>
      <c r="Q35" s="255">
        <v>3.49E-2</v>
      </c>
      <c r="R35" s="447">
        <f>ROUND($D$4*'Tab H'!K34,0)</f>
        <v>4519</v>
      </c>
      <c r="S35" s="493">
        <f>ROUND($D$4*'Tab H'!L34,0)</f>
        <v>4519</v>
      </c>
      <c r="T35" s="447">
        <f>ROUND($D$4*'Tab H'!M34,0)</f>
        <v>4655</v>
      </c>
      <c r="U35" s="447">
        <f>ROUND($D$4*'Tab H'!N34,0)</f>
        <v>4795</v>
      </c>
      <c r="V35" s="447">
        <f>ROUND($D$4*'Tab H'!O34,0)</f>
        <v>4938</v>
      </c>
      <c r="Y35" s="259">
        <v>0.189</v>
      </c>
      <c r="Z35" s="256">
        <f>(0.18*'Tab H'!K34)</f>
        <v>23308.739999999998</v>
      </c>
      <c r="AA35" s="256">
        <f>(0.18*'Tab H'!L34)</f>
        <v>23308.739999999998</v>
      </c>
      <c r="AB35" s="256">
        <f>(0.18*'Tab H'!M34)</f>
        <v>24008.002199999999</v>
      </c>
      <c r="AC35" s="256">
        <f>(0.18*'Tab H'!N34)</f>
        <v>24728.242266000005</v>
      </c>
      <c r="AD35" s="256">
        <f>(0.18*'Tab H'!O34)</f>
        <v>25470.089533980001</v>
      </c>
      <c r="AE35" s="256">
        <f>(0.18*'Tab H'!P34)</f>
        <v>26234.192219999404</v>
      </c>
      <c r="AF35" s="206">
        <f>ROUND($Y$4*'Tab H'!Q34,0)</f>
        <v>28585</v>
      </c>
      <c r="AG35" s="257">
        <f>ROUND($Y$4*'Tab H'!R34,0)</f>
        <v>28585</v>
      </c>
      <c r="AH35" s="258">
        <f t="shared" si="22"/>
        <v>7146.25</v>
      </c>
      <c r="AI35" s="258">
        <f t="shared" si="22"/>
        <v>7146.25</v>
      </c>
      <c r="AJ35" s="258">
        <f t="shared" si="22"/>
        <v>7146.25</v>
      </c>
      <c r="AK35" s="258">
        <f t="shared" si="22"/>
        <v>7146.25</v>
      </c>
      <c r="AL35" s="206">
        <v>0.09</v>
      </c>
      <c r="AM35" s="206">
        <v>0.09</v>
      </c>
      <c r="AN35" s="206">
        <v>0.09</v>
      </c>
      <c r="AO35" s="206">
        <v>0.09</v>
      </c>
      <c r="AP35" s="206">
        <v>0.09</v>
      </c>
      <c r="AQ35" s="206">
        <v>0.09</v>
      </c>
      <c r="AR35" s="206">
        <v>0.09</v>
      </c>
      <c r="AS35" s="260">
        <f t="shared" si="2"/>
        <v>0.09</v>
      </c>
      <c r="AT35" s="260">
        <f t="shared" si="3"/>
        <v>0.09</v>
      </c>
      <c r="AU35" s="260">
        <f t="shared" si="4"/>
        <v>0.09</v>
      </c>
      <c r="AV35" s="260">
        <f t="shared" si="5"/>
        <v>0.09</v>
      </c>
      <c r="AW35" s="260">
        <f t="shared" si="6"/>
        <v>0.09</v>
      </c>
      <c r="AX35" s="260">
        <f t="shared" si="7"/>
        <v>0.09</v>
      </c>
      <c r="AY35" s="256">
        <f t="shared" si="23"/>
        <v>2097.7865999999999</v>
      </c>
      <c r="AZ35" s="256">
        <f t="shared" si="24"/>
        <v>2097.7865999999999</v>
      </c>
      <c r="BA35" s="256">
        <f t="shared" si="25"/>
        <v>2160.720198</v>
      </c>
      <c r="BB35" s="256">
        <f t="shared" si="26"/>
        <v>2225.5418039400001</v>
      </c>
      <c r="BC35" s="256">
        <f t="shared" si="27"/>
        <v>2292.3080580582</v>
      </c>
      <c r="BD35" s="256">
        <f t="shared" si="28"/>
        <v>2361.0772997999461</v>
      </c>
      <c r="BE35" s="206">
        <f t="shared" si="29"/>
        <v>2573</v>
      </c>
      <c r="BF35" s="257">
        <f t="shared" si="9"/>
        <v>2573</v>
      </c>
      <c r="BG35" s="258">
        <f t="shared" si="30"/>
        <v>643.25</v>
      </c>
      <c r="BH35" s="258">
        <f t="shared" si="30"/>
        <v>643.25</v>
      </c>
      <c r="BI35" s="258">
        <f t="shared" si="30"/>
        <v>643.25</v>
      </c>
      <c r="BJ35" s="258">
        <f t="shared" si="30"/>
        <v>643.25</v>
      </c>
      <c r="BK35" s="260">
        <v>0.04</v>
      </c>
      <c r="BL35" s="256">
        <f>($BK$4*'Tab H'!K34)</f>
        <v>5179.72</v>
      </c>
      <c r="BM35" s="256">
        <f>($BK$4*'Tab H'!L34)</f>
        <v>5179.72</v>
      </c>
      <c r="BN35" s="256">
        <f>($BK$4*'Tab H'!M34)</f>
        <v>5335.1116000000002</v>
      </c>
      <c r="BO35" s="256">
        <f>($BK$4*'Tab H'!N34)</f>
        <v>5495.1649480000015</v>
      </c>
      <c r="BP35" s="256">
        <f>($BK$4*'Tab H'!O34)</f>
        <v>5660.0198964400006</v>
      </c>
      <c r="BQ35" s="256">
        <f>($BK$4*'Tab H'!P34)</f>
        <v>5829.8204933332008</v>
      </c>
      <c r="BR35" s="256">
        <f t="shared" si="31"/>
        <v>6050</v>
      </c>
      <c r="BS35" s="257">
        <f>ROUND($BK$4*'Tab H'!R34,0)</f>
        <v>6050</v>
      </c>
      <c r="BT35" s="258">
        <f t="shared" si="32"/>
        <v>1512.5</v>
      </c>
      <c r="BU35" s="258">
        <f t="shared" si="32"/>
        <v>1512.5</v>
      </c>
      <c r="BV35" s="258">
        <f t="shared" si="32"/>
        <v>1512.5</v>
      </c>
      <c r="BW35" s="258">
        <f t="shared" si="32"/>
        <v>1512.5</v>
      </c>
      <c r="BX35" s="255">
        <v>0.04</v>
      </c>
      <c r="BY35" s="447">
        <f>ROUND($BX$4*'Tab H'!K34,0)</f>
        <v>5180</v>
      </c>
      <c r="BZ35" s="493">
        <f>ROUND($BX$4*'Tab H'!L34,0)</f>
        <v>5180</v>
      </c>
      <c r="CA35" s="447">
        <f>ROUND($BX$4*'Tab H'!M34,0)</f>
        <v>5335</v>
      </c>
      <c r="CB35" s="447">
        <f>ROUND($BX$4*'Tab H'!N34,0)</f>
        <v>5495</v>
      </c>
      <c r="CC35" s="447">
        <f>ROUND($BX$4*'Tab H'!O34,0)</f>
        <v>5660</v>
      </c>
      <c r="CF35" s="260">
        <v>0.21</v>
      </c>
      <c r="CG35" s="256">
        <f>($CF$4*'Tab H'!K34)</f>
        <v>27193.53</v>
      </c>
      <c r="CH35" s="256">
        <f>($CF$4*'Tab H'!L34)</f>
        <v>27193.53</v>
      </c>
      <c r="CI35" s="256">
        <f>($CF$4*'Tab H'!M34)</f>
        <v>28009.335900000002</v>
      </c>
      <c r="CJ35" s="256">
        <f>($CF$4*'Tab H'!N34)</f>
        <v>28849.615977000005</v>
      </c>
      <c r="CK35" s="256">
        <f>($CF$4*'Tab H'!O34)</f>
        <v>29715.104456310004</v>
      </c>
      <c r="CL35" s="256">
        <f>($CF$4*'Tab H'!P34)</f>
        <v>30606.557589999305</v>
      </c>
      <c r="CM35" s="206">
        <f>ROUND($CF$4*'Tab H'!Q34,0)</f>
        <v>31761</v>
      </c>
      <c r="CN35" s="257">
        <f>ROUND($CF$4*'Tab H'!R34,0)</f>
        <v>31761</v>
      </c>
      <c r="CO35" s="258">
        <f t="shared" si="33"/>
        <v>7940.25</v>
      </c>
      <c r="CP35" s="258">
        <f t="shared" si="33"/>
        <v>7940.25</v>
      </c>
      <c r="CQ35" s="258">
        <f t="shared" si="33"/>
        <v>7940.25</v>
      </c>
      <c r="CR35" s="258">
        <f t="shared" si="33"/>
        <v>7940.25</v>
      </c>
      <c r="CS35" s="206">
        <v>0.05</v>
      </c>
      <c r="CT35" s="206">
        <v>0.05</v>
      </c>
      <c r="CU35" s="206">
        <v>0.05</v>
      </c>
      <c r="CV35" s="206">
        <v>0.05</v>
      </c>
      <c r="CW35" s="206">
        <v>0.05</v>
      </c>
      <c r="CX35" s="206">
        <v>0.05</v>
      </c>
      <c r="CY35" s="206">
        <v>0.05</v>
      </c>
      <c r="CZ35" s="259">
        <f t="shared" si="13"/>
        <v>0.05</v>
      </c>
      <c r="DA35" s="259">
        <f t="shared" si="14"/>
        <v>0.05</v>
      </c>
      <c r="DB35" s="259">
        <f t="shared" si="15"/>
        <v>0.05</v>
      </c>
      <c r="DC35" s="259">
        <f t="shared" si="16"/>
        <v>0.05</v>
      </c>
      <c r="DD35" s="259">
        <f t="shared" si="17"/>
        <v>0.05</v>
      </c>
      <c r="DE35" s="259">
        <f t="shared" si="18"/>
        <v>0.05</v>
      </c>
      <c r="DF35" s="256">
        <f t="shared" si="34"/>
        <v>1359.6765</v>
      </c>
      <c r="DG35" s="256">
        <f t="shared" si="35"/>
        <v>1359.6765</v>
      </c>
      <c r="DH35" s="256">
        <f t="shared" si="36"/>
        <v>1400.4667950000003</v>
      </c>
      <c r="DI35" s="256">
        <f t="shared" si="37"/>
        <v>1442.4807988500004</v>
      </c>
      <c r="DJ35" s="256">
        <f t="shared" si="38"/>
        <v>1485.7552228155002</v>
      </c>
      <c r="DK35" s="256">
        <f t="shared" si="39"/>
        <v>1530.3278794999653</v>
      </c>
      <c r="DL35" s="206">
        <f t="shared" si="40"/>
        <v>1588</v>
      </c>
      <c r="DM35" s="257">
        <f t="shared" si="20"/>
        <v>1588</v>
      </c>
      <c r="DN35" s="258">
        <f t="shared" si="41"/>
        <v>397</v>
      </c>
      <c r="DO35" s="258">
        <f t="shared" si="41"/>
        <v>397</v>
      </c>
      <c r="DP35" s="258">
        <f t="shared" si="41"/>
        <v>397</v>
      </c>
      <c r="DQ35" s="258">
        <f t="shared" si="41"/>
        <v>397</v>
      </c>
    </row>
    <row r="36" spans="1:121" x14ac:dyDescent="0.3">
      <c r="A36" s="750"/>
      <c r="B36" s="205" t="s">
        <v>165</v>
      </c>
      <c r="C36" s="206">
        <v>18</v>
      </c>
      <c r="D36" s="255">
        <v>3.49E-2</v>
      </c>
      <c r="E36" s="256">
        <f>($D$4*'Tab H'!K35)</f>
        <v>4774.3897999999999</v>
      </c>
      <c r="F36" s="256">
        <f>($D$4*'Tab H'!L35)</f>
        <v>4774.3897999999999</v>
      </c>
      <c r="G36" s="256">
        <f>($D$4*'Tab H'!M35)</f>
        <v>4917.621494</v>
      </c>
      <c r="H36" s="256">
        <f>($D$4*'Tab H'!N35)</f>
        <v>5065.1501388199995</v>
      </c>
      <c r="I36" s="256">
        <f>($D$4*'Tab H'!O35)</f>
        <v>5217.1046429846001</v>
      </c>
      <c r="J36" s="256">
        <f>($D$4*'Tab H'!P35)</f>
        <v>5373.6177822741383</v>
      </c>
      <c r="K36" s="206">
        <f>ROUND($D$4*'Tab H'!Q35,0)</f>
        <v>5576</v>
      </c>
      <c r="L36" s="257">
        <f>ROUND($D$4*'Tab H'!R35,0)</f>
        <v>5576</v>
      </c>
      <c r="M36" s="258">
        <f t="shared" si="42"/>
        <v>1394</v>
      </c>
      <c r="N36" s="258">
        <f t="shared" si="42"/>
        <v>1394</v>
      </c>
      <c r="O36" s="258">
        <f t="shared" si="42"/>
        <v>1394</v>
      </c>
      <c r="P36" s="258">
        <f t="shared" si="42"/>
        <v>1394</v>
      </c>
      <c r="Q36" s="255">
        <v>3.49E-2</v>
      </c>
      <c r="S36" s="493"/>
      <c r="Y36" s="259">
        <v>0.189</v>
      </c>
      <c r="Z36" s="256">
        <f>(0.18*'Tab H'!K35)</f>
        <v>24624.36</v>
      </c>
      <c r="AA36" s="256">
        <f>(0.18*'Tab H'!L35)</f>
        <v>24624.36</v>
      </c>
      <c r="AB36" s="256">
        <f>(0.18*'Tab H'!M35)</f>
        <v>25363.090799999998</v>
      </c>
      <c r="AC36" s="256">
        <f>(0.18*'Tab H'!N35)</f>
        <v>26123.983523999996</v>
      </c>
      <c r="AD36" s="256">
        <f>(0.18*'Tab H'!O35)</f>
        <v>26907.70302972</v>
      </c>
      <c r="AE36" s="256">
        <f>(0.18*'Tab H'!P35)</f>
        <v>27714.934120611597</v>
      </c>
      <c r="AF36" s="206">
        <f>ROUND($Y$4*'Tab H'!Q35,0)</f>
        <v>30198</v>
      </c>
      <c r="AG36" s="257">
        <f>ROUND($Y$4*'Tab H'!R35,0)</f>
        <v>30198</v>
      </c>
      <c r="AH36" s="258">
        <f t="shared" si="22"/>
        <v>7549.5</v>
      </c>
      <c r="AI36" s="258">
        <f t="shared" si="22"/>
        <v>7549.5</v>
      </c>
      <c r="AJ36" s="258">
        <f t="shared" si="22"/>
        <v>7549.5</v>
      </c>
      <c r="AK36" s="258">
        <f t="shared" si="22"/>
        <v>7549.5</v>
      </c>
      <c r="AL36" s="206">
        <v>0.09</v>
      </c>
      <c r="AM36" s="206">
        <v>0.09</v>
      </c>
      <c r="AN36" s="206">
        <v>0.09</v>
      </c>
      <c r="AO36" s="206">
        <v>0.09</v>
      </c>
      <c r="AP36" s="206">
        <v>0.09</v>
      </c>
      <c r="AQ36" s="206">
        <v>0.09</v>
      </c>
      <c r="AR36" s="206">
        <v>0.09</v>
      </c>
      <c r="AS36" s="260">
        <f t="shared" ref="AS36:AS59" si="43">(AL36*0.75)+(AM36*0.25)</f>
        <v>0.09</v>
      </c>
      <c r="AT36" s="260">
        <f t="shared" ref="AT36:AT59" si="44">(AM36*0.75)+(AN36*0.25)</f>
        <v>0.09</v>
      </c>
      <c r="AU36" s="260">
        <f t="shared" ref="AU36:AU59" si="45">(AN36*0.75)+(AO36*0.25)</f>
        <v>0.09</v>
      </c>
      <c r="AV36" s="260">
        <f t="shared" ref="AV36:AV59" si="46">(AO36*0.75)+(AP36*0.25)</f>
        <v>0.09</v>
      </c>
      <c r="AW36" s="260">
        <f t="shared" ref="AW36:AX59" si="47">(AP36*0.75)+(AQ36*0.25)</f>
        <v>0.09</v>
      </c>
      <c r="AX36" s="260">
        <f t="shared" ref="AX36:AX55" si="48">(AQ36*0.75)+(AR36*0.25)</f>
        <v>0.09</v>
      </c>
      <c r="AY36" s="256">
        <f t="shared" si="23"/>
        <v>2216.1923999999999</v>
      </c>
      <c r="AZ36" s="256">
        <f t="shared" si="24"/>
        <v>2216.1923999999999</v>
      </c>
      <c r="BA36" s="256">
        <f t="shared" si="25"/>
        <v>2282.6781719999999</v>
      </c>
      <c r="BB36" s="256">
        <f t="shared" si="26"/>
        <v>2351.1585171599995</v>
      </c>
      <c r="BC36" s="256">
        <f t="shared" si="27"/>
        <v>2421.6932726748</v>
      </c>
      <c r="BD36" s="256">
        <f t="shared" si="28"/>
        <v>2494.3440708550438</v>
      </c>
      <c r="BE36" s="206">
        <f t="shared" si="29"/>
        <v>2718</v>
      </c>
      <c r="BF36" s="257">
        <f t="shared" ref="BF36:BF55" si="49">ROUND(AG36*AX36,0)</f>
        <v>2718</v>
      </c>
      <c r="BG36" s="258">
        <f t="shared" si="30"/>
        <v>679.5</v>
      </c>
      <c r="BH36" s="258">
        <f t="shared" si="30"/>
        <v>679.5</v>
      </c>
      <c r="BI36" s="258">
        <f t="shared" si="30"/>
        <v>679.5</v>
      </c>
      <c r="BJ36" s="258">
        <f t="shared" si="30"/>
        <v>679.5</v>
      </c>
      <c r="BK36" s="260">
        <v>0.04</v>
      </c>
      <c r="BL36" s="256">
        <f>($BK$4*'Tab H'!K35)</f>
        <v>5472.08</v>
      </c>
      <c r="BM36" s="256">
        <f>($BK$4*'Tab H'!L35)</f>
        <v>5472.08</v>
      </c>
      <c r="BN36" s="256">
        <f>($BK$4*'Tab H'!M35)</f>
        <v>5636.2424000000001</v>
      </c>
      <c r="BO36" s="256">
        <f>($BK$4*'Tab H'!N35)</f>
        <v>5805.3296719999998</v>
      </c>
      <c r="BP36" s="256">
        <f>($BK$4*'Tab H'!O35)</f>
        <v>5979.4895621599999</v>
      </c>
      <c r="BQ36" s="256">
        <f>($BK$4*'Tab H'!P35)</f>
        <v>6158.8742490247996</v>
      </c>
      <c r="BR36" s="256">
        <f t="shared" si="31"/>
        <v>6391</v>
      </c>
      <c r="BS36" s="257">
        <f>ROUND($BK$4*'Tab H'!R35,0)</f>
        <v>6391</v>
      </c>
      <c r="BT36" s="258">
        <f t="shared" si="32"/>
        <v>1597.75</v>
      </c>
      <c r="BU36" s="258">
        <f t="shared" si="32"/>
        <v>1597.75</v>
      </c>
      <c r="BV36" s="258">
        <f t="shared" si="32"/>
        <v>1597.75</v>
      </c>
      <c r="BW36" s="258">
        <f t="shared" si="32"/>
        <v>1597.75</v>
      </c>
      <c r="BX36" s="255">
        <v>0.04</v>
      </c>
      <c r="BZ36" s="493"/>
      <c r="CF36" s="260">
        <v>0.21</v>
      </c>
      <c r="CG36" s="256">
        <f>($CF$4*'Tab H'!K35)</f>
        <v>28728.42</v>
      </c>
      <c r="CH36" s="256">
        <f>($CF$4*'Tab H'!L35)</f>
        <v>28728.42</v>
      </c>
      <c r="CI36" s="256">
        <f>($CF$4*'Tab H'!M35)</f>
        <v>29590.272599999997</v>
      </c>
      <c r="CJ36" s="256">
        <f>($CF$4*'Tab H'!N35)</f>
        <v>30477.980777999997</v>
      </c>
      <c r="CK36" s="256">
        <f>($CF$4*'Tab H'!O35)</f>
        <v>31392.32020134</v>
      </c>
      <c r="CL36" s="256">
        <f>($CF$4*'Tab H'!P35)</f>
        <v>32334.089807380198</v>
      </c>
      <c r="CM36" s="206">
        <f>ROUND($CF$4*'Tab H'!Q35,0)</f>
        <v>33553</v>
      </c>
      <c r="CN36" s="257">
        <f>ROUND($CF$4*'Tab H'!R35,0)</f>
        <v>33553</v>
      </c>
      <c r="CO36" s="258">
        <f t="shared" si="33"/>
        <v>8388.25</v>
      </c>
      <c r="CP36" s="258">
        <f t="shared" si="33"/>
        <v>8388.25</v>
      </c>
      <c r="CQ36" s="258">
        <f t="shared" si="33"/>
        <v>8388.25</v>
      </c>
      <c r="CR36" s="258">
        <f t="shared" si="33"/>
        <v>8388.25</v>
      </c>
      <c r="CS36" s="206">
        <v>0.05</v>
      </c>
      <c r="CT36" s="206">
        <v>0.05</v>
      </c>
      <c r="CU36" s="206">
        <v>0.05</v>
      </c>
      <c r="CV36" s="206">
        <v>0.05</v>
      </c>
      <c r="CW36" s="206">
        <v>0.05</v>
      </c>
      <c r="CX36" s="206">
        <v>0.05</v>
      </c>
      <c r="CY36" s="206">
        <v>0.05</v>
      </c>
      <c r="CZ36" s="259">
        <f t="shared" ref="CZ36:CZ59" si="50">(CS36*0.75)+(CT36*0.25)</f>
        <v>0.05</v>
      </c>
      <c r="DA36" s="259">
        <f t="shared" ref="DA36:DA59" si="51">(CT36*0.75)+(CU36*0.25)</f>
        <v>0.05</v>
      </c>
      <c r="DB36" s="259">
        <f t="shared" ref="DB36:DB59" si="52">(CU36*0.75)+(CV36*0.25)</f>
        <v>0.05</v>
      </c>
      <c r="DC36" s="259">
        <f t="shared" ref="DC36:DC59" si="53">(CV36*0.75)+(CW36*0.25)</f>
        <v>0.05</v>
      </c>
      <c r="DD36" s="259">
        <f t="shared" ref="DD36:DD59" si="54">(CW36*0.75)+(CX36*0.25)</f>
        <v>0.05</v>
      </c>
      <c r="DE36" s="259">
        <f t="shared" ref="DE36:DE55" si="55">(CX36*0.75)+(CY36*0.25)</f>
        <v>0.05</v>
      </c>
      <c r="DF36" s="256">
        <f t="shared" si="34"/>
        <v>1436.421</v>
      </c>
      <c r="DG36" s="256">
        <f t="shared" si="35"/>
        <v>1436.421</v>
      </c>
      <c r="DH36" s="256">
        <f t="shared" si="36"/>
        <v>1479.5136299999999</v>
      </c>
      <c r="DI36" s="256">
        <f t="shared" si="37"/>
        <v>1523.8990389000001</v>
      </c>
      <c r="DJ36" s="256">
        <f t="shared" si="38"/>
        <v>1569.6160100670002</v>
      </c>
      <c r="DK36" s="256">
        <f t="shared" si="39"/>
        <v>1616.70449036901</v>
      </c>
      <c r="DL36" s="206">
        <f t="shared" si="40"/>
        <v>1678</v>
      </c>
      <c r="DM36" s="257">
        <f t="shared" ref="DM36:DM55" si="56">ROUND(CN36*DE36,0)</f>
        <v>1678</v>
      </c>
      <c r="DN36" s="258">
        <f t="shared" si="41"/>
        <v>419.5</v>
      </c>
      <c r="DO36" s="258">
        <f t="shared" si="41"/>
        <v>419.5</v>
      </c>
      <c r="DP36" s="258">
        <f t="shared" si="41"/>
        <v>419.5</v>
      </c>
      <c r="DQ36" s="258">
        <f t="shared" si="41"/>
        <v>419.5</v>
      </c>
    </row>
    <row r="37" spans="1:121" x14ac:dyDescent="0.3">
      <c r="A37" s="750"/>
      <c r="B37" s="205" t="s">
        <v>166</v>
      </c>
      <c r="C37" s="206">
        <v>11</v>
      </c>
      <c r="D37" s="255">
        <v>3.49E-2</v>
      </c>
      <c r="E37" s="256">
        <f>($D$4*'Tab H'!K36)</f>
        <v>5993.2374</v>
      </c>
      <c r="F37" s="256">
        <f>($D$4*'Tab H'!L36)</f>
        <v>5993.2374</v>
      </c>
      <c r="G37" s="256">
        <f>($D$4*'Tab H'!M36)</f>
        <v>6173.0345219999999</v>
      </c>
      <c r="H37" s="256">
        <f>($D$4*'Tab H'!N36)</f>
        <v>6358.22555766</v>
      </c>
      <c r="I37" s="256">
        <f>($D$4*'Tab H'!O36)</f>
        <v>6548.9723243897997</v>
      </c>
      <c r="J37" s="256">
        <f>($D$4*'Tab H'!P36)</f>
        <v>6745.4414941214936</v>
      </c>
      <c r="K37" s="206">
        <f>ROUND($D$4*'Tab H'!Q36,0)</f>
        <v>7000</v>
      </c>
      <c r="L37" s="257">
        <f>ROUND($D$4*'Tab H'!R36,0)</f>
        <v>7000</v>
      </c>
      <c r="M37" s="258">
        <f t="shared" si="42"/>
        <v>1750</v>
      </c>
      <c r="N37" s="258">
        <f t="shared" si="42"/>
        <v>1750</v>
      </c>
      <c r="O37" s="258">
        <f t="shared" si="42"/>
        <v>1750</v>
      </c>
      <c r="P37" s="258">
        <f t="shared" si="42"/>
        <v>1750</v>
      </c>
      <c r="Q37" s="255">
        <v>3.49E-2</v>
      </c>
      <c r="R37" s="447">
        <f>ROUND($D$4*'Tab H'!K36,0)</f>
        <v>5993</v>
      </c>
      <c r="S37" s="493">
        <f>ROUND($D$4*'Tab H'!L36,0)</f>
        <v>5993</v>
      </c>
      <c r="T37" s="447">
        <f>ROUND($D$4*'Tab H'!M36,0)</f>
        <v>6173</v>
      </c>
      <c r="U37" s="447">
        <f>ROUND($D$4*'Tab H'!N36,0)</f>
        <v>6358</v>
      </c>
      <c r="V37" s="447">
        <f>ROUND($D$4*'Tab H'!O36,0)</f>
        <v>6549</v>
      </c>
      <c r="Y37" s="259">
        <v>0.189</v>
      </c>
      <c r="Z37" s="256">
        <f>(0.18*'Tab H'!K36)</f>
        <v>30910.68</v>
      </c>
      <c r="AA37" s="256">
        <f>(0.18*'Tab H'!L36)</f>
        <v>30910.68</v>
      </c>
      <c r="AB37" s="256">
        <f>(0.18*'Tab H'!M36)</f>
        <v>31838.000399999997</v>
      </c>
      <c r="AC37" s="256">
        <f>(0.18*'Tab H'!N36)</f>
        <v>32793.140412000001</v>
      </c>
      <c r="AD37" s="256">
        <f>(0.18*'Tab H'!O36)</f>
        <v>33776.934624360001</v>
      </c>
      <c r="AE37" s="256">
        <f>(0.18*'Tab H'!P36)</f>
        <v>34790.242663090794</v>
      </c>
      <c r="AF37" s="206">
        <f>ROUND($Y$4*'Tab H'!Q36,0)</f>
        <v>37908</v>
      </c>
      <c r="AG37" s="257">
        <f>ROUND($Y$4*'Tab H'!R36,0)</f>
        <v>37908</v>
      </c>
      <c r="AH37" s="258">
        <f t="shared" si="22"/>
        <v>9477</v>
      </c>
      <c r="AI37" s="258">
        <f t="shared" si="22"/>
        <v>9477</v>
      </c>
      <c r="AJ37" s="258">
        <f t="shared" si="22"/>
        <v>9477</v>
      </c>
      <c r="AK37" s="258">
        <f t="shared" si="22"/>
        <v>9477</v>
      </c>
      <c r="AL37" s="206">
        <v>0.09</v>
      </c>
      <c r="AM37" s="206">
        <v>0.09</v>
      </c>
      <c r="AN37" s="206">
        <v>0.09</v>
      </c>
      <c r="AO37" s="206">
        <v>0.09</v>
      </c>
      <c r="AP37" s="206">
        <v>0.09</v>
      </c>
      <c r="AQ37" s="206">
        <v>0.09</v>
      </c>
      <c r="AR37" s="206">
        <v>0.09</v>
      </c>
      <c r="AS37" s="260">
        <f t="shared" si="43"/>
        <v>0.09</v>
      </c>
      <c r="AT37" s="260">
        <f t="shared" si="44"/>
        <v>0.09</v>
      </c>
      <c r="AU37" s="260">
        <f t="shared" si="45"/>
        <v>0.09</v>
      </c>
      <c r="AV37" s="260">
        <f t="shared" si="46"/>
        <v>0.09</v>
      </c>
      <c r="AW37" s="260">
        <f t="shared" si="47"/>
        <v>0.09</v>
      </c>
      <c r="AX37" s="260">
        <f t="shared" si="48"/>
        <v>0.09</v>
      </c>
      <c r="AY37" s="256">
        <f t="shared" si="23"/>
        <v>2781.9611999999997</v>
      </c>
      <c r="AZ37" s="256">
        <f t="shared" si="24"/>
        <v>2781.9611999999997</v>
      </c>
      <c r="BA37" s="256">
        <f t="shared" si="25"/>
        <v>2865.4200359999995</v>
      </c>
      <c r="BB37" s="256">
        <f t="shared" si="26"/>
        <v>2951.3826370799998</v>
      </c>
      <c r="BC37" s="256">
        <f t="shared" si="27"/>
        <v>3039.9241161924001</v>
      </c>
      <c r="BD37" s="256">
        <f t="shared" si="28"/>
        <v>3131.1218396781715</v>
      </c>
      <c r="BE37" s="206">
        <f t="shared" si="29"/>
        <v>3412</v>
      </c>
      <c r="BF37" s="257">
        <f t="shared" si="49"/>
        <v>3412</v>
      </c>
      <c r="BG37" s="258">
        <f t="shared" si="30"/>
        <v>853</v>
      </c>
      <c r="BH37" s="258">
        <f t="shared" si="30"/>
        <v>853</v>
      </c>
      <c r="BI37" s="258">
        <f t="shared" si="30"/>
        <v>853</v>
      </c>
      <c r="BJ37" s="258">
        <f t="shared" si="30"/>
        <v>853</v>
      </c>
      <c r="BK37" s="260">
        <v>0.04</v>
      </c>
      <c r="BL37" s="256">
        <f>($BK$4*'Tab H'!K36)</f>
        <v>6869.04</v>
      </c>
      <c r="BM37" s="256">
        <f>($BK$4*'Tab H'!L36)</f>
        <v>6869.04</v>
      </c>
      <c r="BN37" s="256">
        <f>($BK$4*'Tab H'!M36)</f>
        <v>7075.1112000000003</v>
      </c>
      <c r="BO37" s="256">
        <f>($BK$4*'Tab H'!N36)</f>
        <v>7287.364536</v>
      </c>
      <c r="BP37" s="256">
        <f>($BK$4*'Tab H'!O36)</f>
        <v>7505.9854720799995</v>
      </c>
      <c r="BQ37" s="256">
        <f>($BK$4*'Tab H'!P36)</f>
        <v>7731.1650362423998</v>
      </c>
      <c r="BR37" s="256">
        <f t="shared" si="31"/>
        <v>8023</v>
      </c>
      <c r="BS37" s="257">
        <f>ROUND($BK$4*'Tab H'!R36,0)</f>
        <v>8023</v>
      </c>
      <c r="BT37" s="258">
        <f t="shared" si="32"/>
        <v>2005.75</v>
      </c>
      <c r="BU37" s="258">
        <f t="shared" si="32"/>
        <v>2005.75</v>
      </c>
      <c r="BV37" s="258">
        <f t="shared" si="32"/>
        <v>2005.75</v>
      </c>
      <c r="BW37" s="258">
        <f t="shared" si="32"/>
        <v>2005.75</v>
      </c>
      <c r="BX37" s="255">
        <v>0.04</v>
      </c>
      <c r="BY37" s="447">
        <f>ROUND($BX$4*'Tab H'!K36,0)</f>
        <v>6869</v>
      </c>
      <c r="BZ37" s="493">
        <f>ROUND($BX$4*'Tab H'!L36,0)</f>
        <v>6869</v>
      </c>
      <c r="CA37" s="447">
        <f>ROUND($BX$4*'Tab H'!M36,0)</f>
        <v>7075</v>
      </c>
      <c r="CB37" s="447">
        <f>ROUND($BX$4*'Tab H'!N36,0)</f>
        <v>7287</v>
      </c>
      <c r="CC37" s="447">
        <f>ROUND($BX$4*'Tab H'!O36,0)</f>
        <v>7506</v>
      </c>
      <c r="CF37" s="260">
        <v>0.21</v>
      </c>
      <c r="CG37" s="256">
        <f>($CF$4*'Tab H'!K36)</f>
        <v>36062.46</v>
      </c>
      <c r="CH37" s="256">
        <f>($CF$4*'Tab H'!L36)</f>
        <v>36062.46</v>
      </c>
      <c r="CI37" s="256">
        <f>($CF$4*'Tab H'!M36)</f>
        <v>37144.3338</v>
      </c>
      <c r="CJ37" s="256">
        <f>($CF$4*'Tab H'!N36)</f>
        <v>38258.663814</v>
      </c>
      <c r="CK37" s="256">
        <f>($CF$4*'Tab H'!O36)</f>
        <v>39406.423728419999</v>
      </c>
      <c r="CL37" s="256">
        <f>($CF$4*'Tab H'!P36)</f>
        <v>40588.616440272592</v>
      </c>
      <c r="CM37" s="206">
        <f>ROUND($CF$4*'Tab H'!Q36,0)</f>
        <v>42119</v>
      </c>
      <c r="CN37" s="257">
        <f>ROUND($CF$4*'Tab H'!R36,0)</f>
        <v>42119</v>
      </c>
      <c r="CO37" s="258">
        <f t="shared" si="33"/>
        <v>10529.75</v>
      </c>
      <c r="CP37" s="258">
        <f t="shared" si="33"/>
        <v>10529.75</v>
      </c>
      <c r="CQ37" s="258">
        <f t="shared" si="33"/>
        <v>10529.75</v>
      </c>
      <c r="CR37" s="258">
        <f t="shared" si="33"/>
        <v>10529.75</v>
      </c>
      <c r="CS37" s="206">
        <v>0.05</v>
      </c>
      <c r="CT37" s="206">
        <v>0.05</v>
      </c>
      <c r="CU37" s="206">
        <v>0.05</v>
      </c>
      <c r="CV37" s="206">
        <v>0.05</v>
      </c>
      <c r="CW37" s="206">
        <v>0.05</v>
      </c>
      <c r="CX37" s="206">
        <v>0.05</v>
      </c>
      <c r="CY37" s="206">
        <v>0.05</v>
      </c>
      <c r="CZ37" s="259">
        <f t="shared" si="50"/>
        <v>0.05</v>
      </c>
      <c r="DA37" s="259">
        <f t="shared" si="51"/>
        <v>0.05</v>
      </c>
      <c r="DB37" s="259">
        <f t="shared" si="52"/>
        <v>0.05</v>
      </c>
      <c r="DC37" s="259">
        <f t="shared" si="53"/>
        <v>0.05</v>
      </c>
      <c r="DD37" s="259">
        <f t="shared" si="54"/>
        <v>0.05</v>
      </c>
      <c r="DE37" s="259">
        <f t="shared" si="55"/>
        <v>0.05</v>
      </c>
      <c r="DF37" s="256">
        <f t="shared" si="34"/>
        <v>1803.123</v>
      </c>
      <c r="DG37" s="256">
        <f t="shared" si="35"/>
        <v>1803.123</v>
      </c>
      <c r="DH37" s="256">
        <f t="shared" si="36"/>
        <v>1857.2166900000002</v>
      </c>
      <c r="DI37" s="256">
        <f t="shared" si="37"/>
        <v>1912.9331907000001</v>
      </c>
      <c r="DJ37" s="256">
        <f t="shared" si="38"/>
        <v>1970.321186421</v>
      </c>
      <c r="DK37" s="256">
        <f t="shared" si="39"/>
        <v>2029.4308220136297</v>
      </c>
      <c r="DL37" s="206">
        <f t="shared" si="40"/>
        <v>2106</v>
      </c>
      <c r="DM37" s="257">
        <f t="shared" si="56"/>
        <v>2106</v>
      </c>
      <c r="DN37" s="258">
        <f t="shared" si="41"/>
        <v>526.5</v>
      </c>
      <c r="DO37" s="258">
        <f t="shared" si="41"/>
        <v>526.5</v>
      </c>
      <c r="DP37" s="258">
        <f t="shared" si="41"/>
        <v>526.5</v>
      </c>
      <c r="DQ37" s="258">
        <f t="shared" si="41"/>
        <v>526.5</v>
      </c>
    </row>
    <row r="38" spans="1:121" x14ac:dyDescent="0.3">
      <c r="A38" s="750"/>
      <c r="B38" s="205" t="s">
        <v>167</v>
      </c>
      <c r="C38" s="206">
        <v>18</v>
      </c>
      <c r="D38" s="255">
        <v>3.49E-2</v>
      </c>
      <c r="E38" s="256">
        <f>($D$4*'Tab H'!K37)</f>
        <v>3950.4706000000001</v>
      </c>
      <c r="F38" s="256">
        <f>($D$4*'Tab H'!L37)</f>
        <v>3950.4706000000001</v>
      </c>
      <c r="G38" s="256">
        <f>($D$4*'Tab H'!M37)</f>
        <v>4068.9847180000002</v>
      </c>
      <c r="H38" s="256">
        <f>($D$4*'Tab H'!N37)</f>
        <v>4191.0542595400002</v>
      </c>
      <c r="I38" s="256">
        <f>($D$4*'Tab H'!O37)</f>
        <v>4316.7858873262003</v>
      </c>
      <c r="J38" s="256">
        <f>($D$4*'Tab H'!P37)</f>
        <v>4446.2894639459864</v>
      </c>
      <c r="K38" s="206">
        <f>ROUND($D$4*'Tab H'!Q37,0)</f>
        <v>4614</v>
      </c>
      <c r="L38" s="257">
        <f>ROUND($D$4*'Tab H'!R37,0)</f>
        <v>4614</v>
      </c>
      <c r="M38" s="258">
        <f t="shared" si="42"/>
        <v>1153.5</v>
      </c>
      <c r="N38" s="258">
        <f t="shared" si="42"/>
        <v>1153.5</v>
      </c>
      <c r="O38" s="258">
        <f t="shared" si="42"/>
        <v>1153.5</v>
      </c>
      <c r="P38" s="258">
        <f t="shared" si="42"/>
        <v>1153.5</v>
      </c>
      <c r="Q38" s="255">
        <v>3.49E-2</v>
      </c>
      <c r="S38" s="493"/>
      <c r="Y38" s="259">
        <v>0.189</v>
      </c>
      <c r="Z38" s="256">
        <f>(0.18*'Tab H'!K37)</f>
        <v>20374.919999999998</v>
      </c>
      <c r="AA38" s="256">
        <f>(0.18*'Tab H'!L37)</f>
        <v>20374.919999999998</v>
      </c>
      <c r="AB38" s="256">
        <f>(0.18*'Tab H'!M37)</f>
        <v>20986.167600000001</v>
      </c>
      <c r="AC38" s="256">
        <f>(0.18*'Tab H'!N37)</f>
        <v>21615.752628000002</v>
      </c>
      <c r="AD38" s="256">
        <f>(0.18*'Tab H'!O37)</f>
        <v>22264.225206840001</v>
      </c>
      <c r="AE38" s="256">
        <f>(0.18*'Tab H'!P37)</f>
        <v>22932.151963045202</v>
      </c>
      <c r="AF38" s="206">
        <f>ROUND($Y$4*'Tab H'!Q37,0)</f>
        <v>24986</v>
      </c>
      <c r="AG38" s="257">
        <f>ROUND($Y$4*'Tab H'!R37,0)</f>
        <v>24986</v>
      </c>
      <c r="AH38" s="258">
        <f t="shared" si="22"/>
        <v>6246.5</v>
      </c>
      <c r="AI38" s="258">
        <f t="shared" si="22"/>
        <v>6246.5</v>
      </c>
      <c r="AJ38" s="258">
        <f t="shared" si="22"/>
        <v>6246.5</v>
      </c>
      <c r="AK38" s="258">
        <f t="shared" si="22"/>
        <v>6246.5</v>
      </c>
      <c r="AL38" s="206">
        <v>0.13</v>
      </c>
      <c r="AM38" s="206">
        <v>0.13</v>
      </c>
      <c r="AN38" s="206">
        <v>0.13</v>
      </c>
      <c r="AO38" s="206">
        <v>0.13</v>
      </c>
      <c r="AP38" s="206">
        <v>0.13</v>
      </c>
      <c r="AQ38" s="206">
        <v>0.13</v>
      </c>
      <c r="AR38" s="206">
        <v>0.13</v>
      </c>
      <c r="AS38" s="260">
        <f t="shared" si="43"/>
        <v>0.13</v>
      </c>
      <c r="AT38" s="260">
        <f t="shared" si="44"/>
        <v>0.13</v>
      </c>
      <c r="AU38" s="260">
        <f t="shared" si="45"/>
        <v>0.13</v>
      </c>
      <c r="AV38" s="260">
        <f t="shared" si="46"/>
        <v>0.13</v>
      </c>
      <c r="AW38" s="260">
        <f t="shared" si="47"/>
        <v>0.13</v>
      </c>
      <c r="AX38" s="260">
        <f t="shared" si="48"/>
        <v>0.13</v>
      </c>
      <c r="AY38" s="256">
        <f t="shared" si="23"/>
        <v>2648.7395999999999</v>
      </c>
      <c r="AZ38" s="256">
        <f t="shared" si="24"/>
        <v>2648.7395999999999</v>
      </c>
      <c r="BA38" s="256">
        <f t="shared" si="25"/>
        <v>2728.2017880000003</v>
      </c>
      <c r="BB38" s="256">
        <f t="shared" si="26"/>
        <v>2810.0478416400006</v>
      </c>
      <c r="BC38" s="256">
        <f t="shared" si="27"/>
        <v>2894.3492768892002</v>
      </c>
      <c r="BD38" s="256">
        <f t="shared" si="28"/>
        <v>2981.1797551958762</v>
      </c>
      <c r="BE38" s="206">
        <f t="shared" si="29"/>
        <v>3248</v>
      </c>
      <c r="BF38" s="257">
        <f t="shared" si="49"/>
        <v>3248</v>
      </c>
      <c r="BG38" s="258">
        <f t="shared" si="30"/>
        <v>812</v>
      </c>
      <c r="BH38" s="258">
        <f t="shared" si="30"/>
        <v>812</v>
      </c>
      <c r="BI38" s="258">
        <f t="shared" si="30"/>
        <v>812</v>
      </c>
      <c r="BJ38" s="258">
        <f t="shared" si="30"/>
        <v>812</v>
      </c>
      <c r="BK38" s="260">
        <v>0.04</v>
      </c>
      <c r="BL38" s="256">
        <f>($BK$4*'Tab H'!K37)</f>
        <v>4527.76</v>
      </c>
      <c r="BM38" s="256">
        <f>($BK$4*'Tab H'!L37)</f>
        <v>4527.76</v>
      </c>
      <c r="BN38" s="256">
        <f>($BK$4*'Tab H'!M37)</f>
        <v>4663.5928000000004</v>
      </c>
      <c r="BO38" s="256">
        <f>($BK$4*'Tab H'!N37)</f>
        <v>4803.5005840000003</v>
      </c>
      <c r="BP38" s="256">
        <f>($BK$4*'Tab H'!O37)</f>
        <v>4947.6056015200002</v>
      </c>
      <c r="BQ38" s="256">
        <f>($BK$4*'Tab H'!P37)</f>
        <v>5096.0337695656008</v>
      </c>
      <c r="BR38" s="256">
        <f t="shared" si="31"/>
        <v>5288</v>
      </c>
      <c r="BS38" s="257">
        <f>ROUND($BK$4*'Tab H'!R37,0)</f>
        <v>5288</v>
      </c>
      <c r="BT38" s="258">
        <f t="shared" si="32"/>
        <v>1322</v>
      </c>
      <c r="BU38" s="258">
        <f t="shared" si="32"/>
        <v>1322</v>
      </c>
      <c r="BV38" s="258">
        <f t="shared" si="32"/>
        <v>1322</v>
      </c>
      <c r="BW38" s="258">
        <f t="shared" si="32"/>
        <v>1322</v>
      </c>
      <c r="BX38" s="255">
        <v>0.04</v>
      </c>
      <c r="BZ38" s="493"/>
      <c r="CF38" s="260">
        <v>0.21</v>
      </c>
      <c r="CG38" s="256">
        <f>($CF$4*'Tab H'!K37)</f>
        <v>23770.739999999998</v>
      </c>
      <c r="CH38" s="256">
        <f>($CF$4*'Tab H'!L37)</f>
        <v>23770.739999999998</v>
      </c>
      <c r="CI38" s="256">
        <f>($CF$4*'Tab H'!M37)</f>
        <v>24483.8622</v>
      </c>
      <c r="CJ38" s="256">
        <f>($CF$4*'Tab H'!N37)</f>
        <v>25218.378066000001</v>
      </c>
      <c r="CK38" s="256">
        <f>($CF$4*'Tab H'!O37)</f>
        <v>25974.929407980002</v>
      </c>
      <c r="CL38" s="256">
        <f>($CF$4*'Tab H'!P37)</f>
        <v>26754.177290219402</v>
      </c>
      <c r="CM38" s="206">
        <f>ROUND($CF$4*'Tab H'!Q37,0)</f>
        <v>27762</v>
      </c>
      <c r="CN38" s="257">
        <f>ROUND($CF$4*'Tab H'!R37,0)</f>
        <v>27762</v>
      </c>
      <c r="CO38" s="258">
        <f t="shared" si="33"/>
        <v>6940.5</v>
      </c>
      <c r="CP38" s="258">
        <f t="shared" si="33"/>
        <v>6940.5</v>
      </c>
      <c r="CQ38" s="258">
        <f t="shared" si="33"/>
        <v>6940.5</v>
      </c>
      <c r="CR38" s="258">
        <f t="shared" si="33"/>
        <v>6940.5</v>
      </c>
      <c r="CS38" s="206">
        <v>0.05</v>
      </c>
      <c r="CT38" s="206">
        <v>0.05</v>
      </c>
      <c r="CU38" s="206">
        <v>0.05</v>
      </c>
      <c r="CV38" s="206">
        <v>0.05</v>
      </c>
      <c r="CW38" s="206">
        <v>0.05</v>
      </c>
      <c r="CX38" s="206">
        <v>0.05</v>
      </c>
      <c r="CY38" s="206">
        <v>0.05</v>
      </c>
      <c r="CZ38" s="259">
        <f t="shared" si="50"/>
        <v>0.05</v>
      </c>
      <c r="DA38" s="259">
        <f t="shared" si="51"/>
        <v>0.05</v>
      </c>
      <c r="DB38" s="259">
        <f t="shared" si="52"/>
        <v>0.05</v>
      </c>
      <c r="DC38" s="259">
        <f t="shared" si="53"/>
        <v>0.05</v>
      </c>
      <c r="DD38" s="259">
        <f t="shared" si="54"/>
        <v>0.05</v>
      </c>
      <c r="DE38" s="259">
        <f t="shared" si="55"/>
        <v>0.05</v>
      </c>
      <c r="DF38" s="256">
        <f t="shared" si="34"/>
        <v>1188.537</v>
      </c>
      <c r="DG38" s="256">
        <f t="shared" si="35"/>
        <v>1188.537</v>
      </c>
      <c r="DH38" s="256">
        <f t="shared" si="36"/>
        <v>1224.1931099999999</v>
      </c>
      <c r="DI38" s="256">
        <f t="shared" si="37"/>
        <v>1260.9189033000002</v>
      </c>
      <c r="DJ38" s="256">
        <f t="shared" si="38"/>
        <v>1298.7464703990001</v>
      </c>
      <c r="DK38" s="256">
        <f t="shared" si="39"/>
        <v>1337.7088645109702</v>
      </c>
      <c r="DL38" s="206">
        <f t="shared" si="40"/>
        <v>1388</v>
      </c>
      <c r="DM38" s="257">
        <f t="shared" si="56"/>
        <v>1388</v>
      </c>
      <c r="DN38" s="258">
        <f t="shared" si="41"/>
        <v>347</v>
      </c>
      <c r="DO38" s="258">
        <f t="shared" si="41"/>
        <v>347</v>
      </c>
      <c r="DP38" s="258">
        <f t="shared" si="41"/>
        <v>347</v>
      </c>
      <c r="DQ38" s="258">
        <f t="shared" si="41"/>
        <v>347</v>
      </c>
    </row>
    <row r="39" spans="1:121" x14ac:dyDescent="0.3">
      <c r="A39" s="750"/>
      <c r="B39" s="205" t="s">
        <v>168</v>
      </c>
      <c r="C39" s="206">
        <v>11</v>
      </c>
      <c r="D39" s="255">
        <v>3.49E-2</v>
      </c>
      <c r="E39" s="256">
        <f>($D$4*'Tab H'!K38)</f>
        <v>2669.5358999999999</v>
      </c>
      <c r="F39" s="256">
        <f>($D$4*'Tab H'!L38)</f>
        <v>2669.5358999999999</v>
      </c>
      <c r="G39" s="256">
        <f>($D$4*'Tab H'!M38)</f>
        <v>2749.6219769999998</v>
      </c>
      <c r="H39" s="256">
        <f>($D$4*'Tab H'!N38)</f>
        <v>2832.1106363099998</v>
      </c>
      <c r="I39" s="256">
        <f>($D$4*'Tab H'!O38)</f>
        <v>2917.0739553992998</v>
      </c>
      <c r="J39" s="256">
        <f>($D$4*'Tab H'!P38)</f>
        <v>3004.5861740612791</v>
      </c>
      <c r="K39" s="206">
        <f>ROUND($D$4*'Tab H'!Q38,0)</f>
        <v>3118</v>
      </c>
      <c r="L39" s="257">
        <f>ROUND($D$4*'Tab H'!R38,0)</f>
        <v>3118</v>
      </c>
      <c r="M39" s="258">
        <f t="shared" si="42"/>
        <v>779.5</v>
      </c>
      <c r="N39" s="258">
        <f t="shared" si="42"/>
        <v>779.5</v>
      </c>
      <c r="O39" s="258">
        <f t="shared" si="42"/>
        <v>779.5</v>
      </c>
      <c r="P39" s="258">
        <f t="shared" si="42"/>
        <v>779.5</v>
      </c>
      <c r="Q39" s="255">
        <v>3.49E-2</v>
      </c>
      <c r="R39" s="447">
        <f>ROUND($D$4*'Tab H'!K38,0)</f>
        <v>2670</v>
      </c>
      <c r="S39" s="493">
        <f>ROUND($D$4*'Tab H'!L38,0)</f>
        <v>2670</v>
      </c>
      <c r="T39" s="447">
        <f>ROUND($D$4*'Tab H'!M38,0)</f>
        <v>2750</v>
      </c>
      <c r="U39" s="447">
        <f>ROUND($D$4*'Tab H'!N38,0)</f>
        <v>2832</v>
      </c>
      <c r="V39" s="447">
        <f>ROUND($D$4*'Tab H'!O38,0)</f>
        <v>2917</v>
      </c>
      <c r="Y39" s="259">
        <v>0.189</v>
      </c>
      <c r="Z39" s="256">
        <f>(0.18*'Tab H'!K38)</f>
        <v>13768.38</v>
      </c>
      <c r="AA39" s="256">
        <f>(0.18*'Tab H'!L38)</f>
        <v>13768.38</v>
      </c>
      <c r="AB39" s="256">
        <f>(0.18*'Tab H'!M38)</f>
        <v>14181.431399999999</v>
      </c>
      <c r="AC39" s="256">
        <f>(0.18*'Tab H'!N38)</f>
        <v>14606.874341999997</v>
      </c>
      <c r="AD39" s="256">
        <f>(0.18*'Tab H'!O38)</f>
        <v>15045.080572259998</v>
      </c>
      <c r="AE39" s="256">
        <f>(0.18*'Tab H'!P38)</f>
        <v>15496.4329894278</v>
      </c>
      <c r="AF39" s="206">
        <f>ROUND($Y$4*'Tab H'!Q38,0)</f>
        <v>16885</v>
      </c>
      <c r="AG39" s="257">
        <f>ROUND($Y$4*'Tab H'!R38,0)</f>
        <v>16885</v>
      </c>
      <c r="AH39" s="258">
        <f t="shared" si="22"/>
        <v>4221.25</v>
      </c>
      <c r="AI39" s="258">
        <f t="shared" si="22"/>
        <v>4221.25</v>
      </c>
      <c r="AJ39" s="258">
        <f t="shared" si="22"/>
        <v>4221.25</v>
      </c>
      <c r="AK39" s="258">
        <f t="shared" si="22"/>
        <v>4221.25</v>
      </c>
      <c r="AL39" s="206">
        <v>0.13</v>
      </c>
      <c r="AM39" s="206">
        <v>0.13</v>
      </c>
      <c r="AN39" s="206">
        <v>0.13</v>
      </c>
      <c r="AO39" s="206">
        <v>0.13</v>
      </c>
      <c r="AP39" s="206">
        <v>0.13</v>
      </c>
      <c r="AQ39" s="206">
        <v>0.13</v>
      </c>
      <c r="AR39" s="206">
        <v>0.13</v>
      </c>
      <c r="AS39" s="260">
        <f t="shared" si="43"/>
        <v>0.13</v>
      </c>
      <c r="AT39" s="260">
        <f t="shared" si="44"/>
        <v>0.13</v>
      </c>
      <c r="AU39" s="260">
        <f t="shared" si="45"/>
        <v>0.13</v>
      </c>
      <c r="AV39" s="260">
        <f t="shared" si="46"/>
        <v>0.13</v>
      </c>
      <c r="AW39" s="260">
        <f t="shared" si="47"/>
        <v>0.13</v>
      </c>
      <c r="AX39" s="260">
        <f t="shared" si="48"/>
        <v>0.13</v>
      </c>
      <c r="AY39" s="256">
        <f t="shared" si="23"/>
        <v>1789.8894</v>
      </c>
      <c r="AZ39" s="256">
        <f t="shared" si="24"/>
        <v>1789.8894</v>
      </c>
      <c r="BA39" s="256">
        <f t="shared" si="25"/>
        <v>1843.586082</v>
      </c>
      <c r="BB39" s="256">
        <f t="shared" si="26"/>
        <v>1898.8936644599996</v>
      </c>
      <c r="BC39" s="256">
        <f t="shared" si="27"/>
        <v>1955.8604743937999</v>
      </c>
      <c r="BD39" s="256">
        <f t="shared" si="28"/>
        <v>2014.5362886256141</v>
      </c>
      <c r="BE39" s="206">
        <f t="shared" si="29"/>
        <v>2195</v>
      </c>
      <c r="BF39" s="257">
        <f t="shared" si="49"/>
        <v>2195</v>
      </c>
      <c r="BG39" s="258">
        <f t="shared" si="30"/>
        <v>548.75</v>
      </c>
      <c r="BH39" s="258">
        <f t="shared" si="30"/>
        <v>548.75</v>
      </c>
      <c r="BI39" s="258">
        <f t="shared" si="30"/>
        <v>548.75</v>
      </c>
      <c r="BJ39" s="258">
        <f t="shared" si="30"/>
        <v>548.75</v>
      </c>
      <c r="BK39" s="260">
        <v>0.04</v>
      </c>
      <c r="BL39" s="256">
        <f>($BK$4*'Tab H'!K38)</f>
        <v>3059.64</v>
      </c>
      <c r="BM39" s="256">
        <f>($BK$4*'Tab H'!L38)</f>
        <v>3059.64</v>
      </c>
      <c r="BN39" s="256">
        <f>($BK$4*'Tab H'!M38)</f>
        <v>3151.4292</v>
      </c>
      <c r="BO39" s="256">
        <f>($BK$4*'Tab H'!N38)</f>
        <v>3245.9720759999996</v>
      </c>
      <c r="BP39" s="256">
        <f>($BK$4*'Tab H'!O38)</f>
        <v>3343.35123828</v>
      </c>
      <c r="BQ39" s="256">
        <f>($BK$4*'Tab H'!P38)</f>
        <v>3443.6517754284</v>
      </c>
      <c r="BR39" s="256">
        <f t="shared" si="31"/>
        <v>3574</v>
      </c>
      <c r="BS39" s="257">
        <f>ROUND($BK$4*'Tab H'!R38,0)</f>
        <v>3574</v>
      </c>
      <c r="BT39" s="258">
        <f t="shared" si="32"/>
        <v>893.5</v>
      </c>
      <c r="BU39" s="258">
        <f t="shared" si="32"/>
        <v>893.5</v>
      </c>
      <c r="BV39" s="258">
        <f t="shared" si="32"/>
        <v>893.5</v>
      </c>
      <c r="BW39" s="258">
        <f t="shared" si="32"/>
        <v>893.5</v>
      </c>
      <c r="BX39" s="255">
        <v>0.04</v>
      </c>
      <c r="BY39" s="447">
        <f>ROUND($BX$4*'Tab H'!K38,0)</f>
        <v>3060</v>
      </c>
      <c r="BZ39" s="493">
        <f>ROUND($BX$4*'Tab H'!L38,0)</f>
        <v>3060</v>
      </c>
      <c r="CA39" s="447">
        <f>ROUND($BX$4*'Tab H'!M38,0)</f>
        <v>3151</v>
      </c>
      <c r="CB39" s="447">
        <f>ROUND($BX$4*'Tab H'!N38,0)</f>
        <v>3246</v>
      </c>
      <c r="CC39" s="447">
        <f>ROUND($BX$4*'Tab H'!O38,0)</f>
        <v>3343</v>
      </c>
      <c r="CF39" s="260">
        <v>0.21</v>
      </c>
      <c r="CG39" s="256">
        <f>($CF$4*'Tab H'!K38)</f>
        <v>16063.109999999999</v>
      </c>
      <c r="CH39" s="256">
        <f>($CF$4*'Tab H'!L38)</f>
        <v>16063.109999999999</v>
      </c>
      <c r="CI39" s="256">
        <f>($CF$4*'Tab H'!M38)</f>
        <v>16545.0033</v>
      </c>
      <c r="CJ39" s="256">
        <f>($CF$4*'Tab H'!N38)</f>
        <v>17041.353398999996</v>
      </c>
      <c r="CK39" s="256">
        <f>($CF$4*'Tab H'!O38)</f>
        <v>17552.594000969999</v>
      </c>
      <c r="CL39" s="256">
        <f>($CF$4*'Tab H'!P38)</f>
        <v>18079.171820999101</v>
      </c>
      <c r="CM39" s="206">
        <f>ROUND($CF$4*'Tab H'!Q38,0)</f>
        <v>18761</v>
      </c>
      <c r="CN39" s="257">
        <f>ROUND($CF$4*'Tab H'!R38,0)</f>
        <v>18761</v>
      </c>
      <c r="CO39" s="258">
        <f t="shared" si="33"/>
        <v>4690.25</v>
      </c>
      <c r="CP39" s="258">
        <f t="shared" si="33"/>
        <v>4690.25</v>
      </c>
      <c r="CQ39" s="258">
        <f t="shared" si="33"/>
        <v>4690.25</v>
      </c>
      <c r="CR39" s="258">
        <f t="shared" si="33"/>
        <v>4690.25</v>
      </c>
      <c r="CS39" s="206">
        <v>0.05</v>
      </c>
      <c r="CT39" s="206">
        <v>0.05</v>
      </c>
      <c r="CU39" s="206">
        <v>0.05</v>
      </c>
      <c r="CV39" s="206">
        <v>0.05</v>
      </c>
      <c r="CW39" s="206">
        <v>0.05</v>
      </c>
      <c r="CX39" s="206">
        <v>0.05</v>
      </c>
      <c r="CY39" s="206">
        <v>0.05</v>
      </c>
      <c r="CZ39" s="259">
        <f t="shared" si="50"/>
        <v>0.05</v>
      </c>
      <c r="DA39" s="259">
        <f t="shared" si="51"/>
        <v>0.05</v>
      </c>
      <c r="DB39" s="259">
        <f t="shared" si="52"/>
        <v>0.05</v>
      </c>
      <c r="DC39" s="259">
        <f t="shared" si="53"/>
        <v>0.05</v>
      </c>
      <c r="DD39" s="259">
        <f t="shared" si="54"/>
        <v>0.05</v>
      </c>
      <c r="DE39" s="259">
        <f t="shared" si="55"/>
        <v>0.05</v>
      </c>
      <c r="DF39" s="256">
        <f t="shared" si="34"/>
        <v>803.15549999999996</v>
      </c>
      <c r="DG39" s="256">
        <f t="shared" si="35"/>
        <v>803.15549999999996</v>
      </c>
      <c r="DH39" s="256">
        <f t="shared" si="36"/>
        <v>827.25016500000004</v>
      </c>
      <c r="DI39" s="256">
        <f t="shared" si="37"/>
        <v>852.06766994999987</v>
      </c>
      <c r="DJ39" s="256">
        <f t="shared" si="38"/>
        <v>877.62970004850001</v>
      </c>
      <c r="DK39" s="256">
        <f t="shared" si="39"/>
        <v>903.95859104995509</v>
      </c>
      <c r="DL39" s="206">
        <f t="shared" si="40"/>
        <v>938</v>
      </c>
      <c r="DM39" s="257">
        <f t="shared" si="56"/>
        <v>938</v>
      </c>
      <c r="DN39" s="258">
        <f t="shared" si="41"/>
        <v>234.5</v>
      </c>
      <c r="DO39" s="258">
        <f t="shared" si="41"/>
        <v>234.5</v>
      </c>
      <c r="DP39" s="258">
        <f t="shared" si="41"/>
        <v>234.5</v>
      </c>
      <c r="DQ39" s="258">
        <f t="shared" si="41"/>
        <v>234.5</v>
      </c>
    </row>
    <row r="40" spans="1:121" x14ac:dyDescent="0.3">
      <c r="A40" s="750"/>
      <c r="B40" s="205" t="s">
        <v>169</v>
      </c>
      <c r="C40" s="206">
        <v>15</v>
      </c>
      <c r="D40" s="255">
        <v>3.49E-2</v>
      </c>
      <c r="E40" s="256">
        <f>($D$4*'Tab H'!K39)</f>
        <v>3084.1129999999998</v>
      </c>
      <c r="F40" s="256">
        <f>($D$4*'Tab H'!L39)</f>
        <v>3084.1129999999998</v>
      </c>
      <c r="G40" s="256">
        <f>($D$4*'Tab H'!M39)</f>
        <v>3176.6363900000001</v>
      </c>
      <c r="H40" s="256">
        <f>($D$4*'Tab H'!N39)</f>
        <v>3271.9354817000003</v>
      </c>
      <c r="I40" s="256">
        <f>($D$4*'Tab H'!O39)</f>
        <v>3370.0935461510007</v>
      </c>
      <c r="J40" s="256">
        <f>($D$4*'Tab H'!P39)</f>
        <v>3471.1963525355309</v>
      </c>
      <c r="K40" s="206">
        <f>ROUND($D$4*'Tab H'!Q39,0)</f>
        <v>3602</v>
      </c>
      <c r="L40" s="257">
        <f>ROUND($D$4*'Tab H'!R39,0)</f>
        <v>3602</v>
      </c>
      <c r="M40" s="258">
        <f t="shared" si="42"/>
        <v>900.5</v>
      </c>
      <c r="N40" s="258">
        <f t="shared" si="42"/>
        <v>900.5</v>
      </c>
      <c r="O40" s="258">
        <f t="shared" si="42"/>
        <v>900.5</v>
      </c>
      <c r="P40" s="258">
        <f t="shared" si="42"/>
        <v>900.5</v>
      </c>
      <c r="Q40" s="255">
        <v>3.49E-2</v>
      </c>
      <c r="R40" s="447">
        <f>ROUND($D$4*'Tab H'!K39,0)</f>
        <v>3084</v>
      </c>
      <c r="S40" s="493">
        <f>ROUND($D$4*'Tab H'!L39,0)</f>
        <v>3084</v>
      </c>
      <c r="T40" s="447">
        <f>ROUND($D$4*'Tab H'!M39,0)</f>
        <v>3177</v>
      </c>
      <c r="U40" s="447">
        <f>ROUND($D$4*'Tab H'!N39,0)</f>
        <v>3272</v>
      </c>
      <c r="V40" s="447">
        <f>ROUND($D$4*'Tab H'!O39,0)</f>
        <v>3370</v>
      </c>
      <c r="Y40" s="259">
        <v>0.189</v>
      </c>
      <c r="Z40" s="256">
        <f>(0.18*'Tab H'!K39)</f>
        <v>15906.599999999999</v>
      </c>
      <c r="AA40" s="256">
        <f>(0.18*'Tab H'!L39)</f>
        <v>15906.599999999999</v>
      </c>
      <c r="AB40" s="256">
        <f>(0.18*'Tab H'!M39)</f>
        <v>16383.798000000001</v>
      </c>
      <c r="AC40" s="256">
        <f>(0.18*'Tab H'!N39)</f>
        <v>16875.31194</v>
      </c>
      <c r="AD40" s="256">
        <f>(0.18*'Tab H'!O39)</f>
        <v>17381.5712982</v>
      </c>
      <c r="AE40" s="256">
        <f>(0.18*'Tab H'!P39)</f>
        <v>17903.018437146002</v>
      </c>
      <c r="AF40" s="206">
        <f>ROUND($Y$4*'Tab H'!Q39,0)</f>
        <v>19506</v>
      </c>
      <c r="AG40" s="257">
        <f>ROUND($Y$4*'Tab H'!R39,0)</f>
        <v>19506</v>
      </c>
      <c r="AH40" s="258">
        <f t="shared" si="22"/>
        <v>4876.5</v>
      </c>
      <c r="AI40" s="258">
        <f t="shared" si="22"/>
        <v>4876.5</v>
      </c>
      <c r="AJ40" s="258">
        <f t="shared" si="22"/>
        <v>4876.5</v>
      </c>
      <c r="AK40" s="258">
        <f t="shared" si="22"/>
        <v>4876.5</v>
      </c>
      <c r="AL40" s="206">
        <v>0.09</v>
      </c>
      <c r="AM40" s="206">
        <v>0.09</v>
      </c>
      <c r="AN40" s="206">
        <v>0.09</v>
      </c>
      <c r="AO40" s="206">
        <v>0.09</v>
      </c>
      <c r="AP40" s="206">
        <v>0.09</v>
      </c>
      <c r="AQ40" s="206">
        <v>0.09</v>
      </c>
      <c r="AR40" s="206">
        <v>0.09</v>
      </c>
      <c r="AS40" s="260">
        <f t="shared" si="43"/>
        <v>0.09</v>
      </c>
      <c r="AT40" s="260">
        <f t="shared" si="44"/>
        <v>0.09</v>
      </c>
      <c r="AU40" s="260">
        <f t="shared" si="45"/>
        <v>0.09</v>
      </c>
      <c r="AV40" s="260">
        <f t="shared" si="46"/>
        <v>0.09</v>
      </c>
      <c r="AW40" s="260">
        <f t="shared" si="47"/>
        <v>0.09</v>
      </c>
      <c r="AX40" s="260">
        <f t="shared" si="48"/>
        <v>0.09</v>
      </c>
      <c r="AY40" s="256">
        <f t="shared" si="23"/>
        <v>1431.5939999999998</v>
      </c>
      <c r="AZ40" s="256">
        <f t="shared" si="24"/>
        <v>1431.5939999999998</v>
      </c>
      <c r="BA40" s="256">
        <f t="shared" si="25"/>
        <v>1474.5418199999999</v>
      </c>
      <c r="BB40" s="256">
        <f t="shared" si="26"/>
        <v>1518.7780745999999</v>
      </c>
      <c r="BC40" s="256">
        <f t="shared" si="27"/>
        <v>1564.341416838</v>
      </c>
      <c r="BD40" s="256">
        <f t="shared" si="28"/>
        <v>1611.2716593431401</v>
      </c>
      <c r="BE40" s="206">
        <f t="shared" si="29"/>
        <v>1756</v>
      </c>
      <c r="BF40" s="257">
        <f t="shared" si="49"/>
        <v>1756</v>
      </c>
      <c r="BG40" s="258">
        <f t="shared" si="30"/>
        <v>439</v>
      </c>
      <c r="BH40" s="258">
        <f t="shared" si="30"/>
        <v>439</v>
      </c>
      <c r="BI40" s="258">
        <f t="shared" si="30"/>
        <v>439</v>
      </c>
      <c r="BJ40" s="258">
        <f t="shared" si="30"/>
        <v>439</v>
      </c>
      <c r="BK40" s="260">
        <v>0.04</v>
      </c>
      <c r="BL40" s="256">
        <f>($BK$4*'Tab H'!K39)</f>
        <v>3534.8</v>
      </c>
      <c r="BM40" s="256">
        <f>($BK$4*'Tab H'!L39)</f>
        <v>3534.8</v>
      </c>
      <c r="BN40" s="256">
        <f>($BK$4*'Tab H'!M39)</f>
        <v>3640.8440000000005</v>
      </c>
      <c r="BO40" s="256">
        <f>($BK$4*'Tab H'!N39)</f>
        <v>3750.0693200000005</v>
      </c>
      <c r="BP40" s="256">
        <f>($BK$4*'Tab H'!O39)</f>
        <v>3862.5713996000009</v>
      </c>
      <c r="BQ40" s="256">
        <f>($BK$4*'Tab H'!P39)</f>
        <v>3978.4485415880013</v>
      </c>
      <c r="BR40" s="256">
        <f t="shared" si="31"/>
        <v>4128</v>
      </c>
      <c r="BS40" s="257">
        <f>ROUND($BK$4*'Tab H'!R39,0)</f>
        <v>4128</v>
      </c>
      <c r="BT40" s="258">
        <f t="shared" si="32"/>
        <v>1032</v>
      </c>
      <c r="BU40" s="258">
        <f t="shared" si="32"/>
        <v>1032</v>
      </c>
      <c r="BV40" s="258">
        <f t="shared" si="32"/>
        <v>1032</v>
      </c>
      <c r="BW40" s="258">
        <f t="shared" si="32"/>
        <v>1032</v>
      </c>
      <c r="BX40" s="255">
        <v>0.04</v>
      </c>
      <c r="BY40" s="447">
        <f>ROUND($BX$4*'Tab H'!K39,0)</f>
        <v>3535</v>
      </c>
      <c r="BZ40" s="493">
        <f>ROUND($BX$4*'Tab H'!L39,0)</f>
        <v>3535</v>
      </c>
      <c r="CA40" s="447">
        <f>ROUND($BX$4*'Tab H'!M39,0)</f>
        <v>3641</v>
      </c>
      <c r="CB40" s="447">
        <f>ROUND($BX$4*'Tab H'!N39,0)</f>
        <v>3750</v>
      </c>
      <c r="CC40" s="447">
        <f>ROUND($BX$4*'Tab H'!O39,0)</f>
        <v>3863</v>
      </c>
      <c r="CF40" s="260">
        <v>0.21</v>
      </c>
      <c r="CG40" s="256">
        <f>($CF$4*'Tab H'!K39)</f>
        <v>18557.7</v>
      </c>
      <c r="CH40" s="256">
        <f>($CF$4*'Tab H'!L39)</f>
        <v>18557.7</v>
      </c>
      <c r="CI40" s="256">
        <f>($CF$4*'Tab H'!M39)</f>
        <v>19114.431</v>
      </c>
      <c r="CJ40" s="256">
        <f>($CF$4*'Tab H'!N39)</f>
        <v>19687.86393</v>
      </c>
      <c r="CK40" s="256">
        <f>($CF$4*'Tab H'!O39)</f>
        <v>20278.499847900002</v>
      </c>
      <c r="CL40" s="256">
        <f>($CF$4*'Tab H'!P39)</f>
        <v>20886.854843337005</v>
      </c>
      <c r="CM40" s="206">
        <f>ROUND($CF$4*'Tab H'!Q39,0)</f>
        <v>21674</v>
      </c>
      <c r="CN40" s="257">
        <f>ROUND($CF$4*'Tab H'!R39,0)</f>
        <v>21674</v>
      </c>
      <c r="CO40" s="258">
        <f t="shared" si="33"/>
        <v>5418.5</v>
      </c>
      <c r="CP40" s="258">
        <f t="shared" si="33"/>
        <v>5418.5</v>
      </c>
      <c r="CQ40" s="258">
        <f t="shared" si="33"/>
        <v>5418.5</v>
      </c>
      <c r="CR40" s="258">
        <f t="shared" si="33"/>
        <v>5418.5</v>
      </c>
      <c r="CS40" s="206">
        <v>0.05</v>
      </c>
      <c r="CT40" s="206">
        <v>0.05</v>
      </c>
      <c r="CU40" s="206">
        <v>0.05</v>
      </c>
      <c r="CV40" s="206">
        <v>0.05</v>
      </c>
      <c r="CW40" s="206">
        <v>0.05</v>
      </c>
      <c r="CX40" s="206">
        <v>0.05</v>
      </c>
      <c r="CY40" s="206">
        <v>0.05</v>
      </c>
      <c r="CZ40" s="259">
        <f t="shared" si="50"/>
        <v>0.05</v>
      </c>
      <c r="DA40" s="259">
        <f t="shared" si="51"/>
        <v>0.05</v>
      </c>
      <c r="DB40" s="259">
        <f t="shared" si="52"/>
        <v>0.05</v>
      </c>
      <c r="DC40" s="259">
        <f t="shared" si="53"/>
        <v>0.05</v>
      </c>
      <c r="DD40" s="259">
        <f t="shared" si="54"/>
        <v>0.05</v>
      </c>
      <c r="DE40" s="259">
        <f t="shared" si="55"/>
        <v>0.05</v>
      </c>
      <c r="DF40" s="256">
        <f t="shared" si="34"/>
        <v>927.8850000000001</v>
      </c>
      <c r="DG40" s="256">
        <f t="shared" si="35"/>
        <v>927.8850000000001</v>
      </c>
      <c r="DH40" s="256">
        <f t="shared" si="36"/>
        <v>955.72155000000009</v>
      </c>
      <c r="DI40" s="256">
        <f t="shared" si="37"/>
        <v>984.39319650000004</v>
      </c>
      <c r="DJ40" s="256">
        <f t="shared" si="38"/>
        <v>1013.9249923950001</v>
      </c>
      <c r="DK40" s="256">
        <f t="shared" si="39"/>
        <v>1044.3427421668503</v>
      </c>
      <c r="DL40" s="206">
        <f t="shared" si="40"/>
        <v>1084</v>
      </c>
      <c r="DM40" s="257">
        <f t="shared" si="56"/>
        <v>1084</v>
      </c>
      <c r="DN40" s="258">
        <f t="shared" si="41"/>
        <v>271</v>
      </c>
      <c r="DO40" s="258">
        <f t="shared" si="41"/>
        <v>271</v>
      </c>
      <c r="DP40" s="258">
        <f t="shared" si="41"/>
        <v>271</v>
      </c>
      <c r="DQ40" s="258">
        <f t="shared" si="41"/>
        <v>271</v>
      </c>
    </row>
    <row r="41" spans="1:121" x14ac:dyDescent="0.3">
      <c r="A41" s="750"/>
      <c r="B41" s="205" t="s">
        <v>170</v>
      </c>
      <c r="C41" s="206">
        <v>17</v>
      </c>
      <c r="D41" s="255">
        <v>3.49E-2</v>
      </c>
      <c r="E41" s="256">
        <f>($D$4*'Tab H'!K40)</f>
        <v>3841.0940000000001</v>
      </c>
      <c r="F41" s="256">
        <f>($D$4*'Tab H'!L40)</f>
        <v>3841.0940000000001</v>
      </c>
      <c r="G41" s="256">
        <f>($D$4*'Tab H'!M40)</f>
        <v>3956.3268200000002</v>
      </c>
      <c r="H41" s="256">
        <f>($D$4*'Tab H'!N40)</f>
        <v>4075.0166246000003</v>
      </c>
      <c r="I41" s="256">
        <f>($D$4*'Tab H'!O40)</f>
        <v>4197.2671233380006</v>
      </c>
      <c r="J41" s="256">
        <f>($D$4*'Tab H'!P40)</f>
        <v>4323.185137038141</v>
      </c>
      <c r="K41" s="206">
        <f>ROUND($D$4*'Tab H'!Q40,0)</f>
        <v>4486</v>
      </c>
      <c r="L41" s="257">
        <f>ROUND($D$4*'Tab H'!R40,0)</f>
        <v>4486</v>
      </c>
      <c r="M41" s="258">
        <f t="shared" si="42"/>
        <v>1121.5</v>
      </c>
      <c r="N41" s="258">
        <f t="shared" si="42"/>
        <v>1121.5</v>
      </c>
      <c r="O41" s="258">
        <f t="shared" si="42"/>
        <v>1121.5</v>
      </c>
      <c r="P41" s="258">
        <f t="shared" si="42"/>
        <v>1121.5</v>
      </c>
      <c r="Q41" s="255">
        <v>3.49E-2</v>
      </c>
      <c r="R41" s="447">
        <f>ROUND($D$4*'Tab H'!K40,0)</f>
        <v>3841</v>
      </c>
      <c r="S41" s="493">
        <f>ROUND($D$4*'Tab H'!L40,0)</f>
        <v>3841</v>
      </c>
      <c r="T41" s="447">
        <f>ROUND($D$4*'Tab H'!M40,0)</f>
        <v>3956</v>
      </c>
      <c r="U41" s="447">
        <f>ROUND($D$4*'Tab H'!N40,0)</f>
        <v>4075</v>
      </c>
      <c r="V41" s="447">
        <f>ROUND($D$4*'Tab H'!O40,0)</f>
        <v>4197</v>
      </c>
      <c r="Y41" s="259">
        <v>0.189</v>
      </c>
      <c r="Z41" s="256">
        <f>(0.18*'Tab H'!K40)</f>
        <v>19810.8</v>
      </c>
      <c r="AA41" s="256">
        <f>(0.18*'Tab H'!L40)</f>
        <v>19810.8</v>
      </c>
      <c r="AB41" s="256">
        <f>(0.18*'Tab H'!M40)</f>
        <v>20405.124</v>
      </c>
      <c r="AC41" s="256">
        <f>(0.18*'Tab H'!N40)</f>
        <v>21017.277720000002</v>
      </c>
      <c r="AD41" s="256">
        <f>(0.18*'Tab H'!O40)</f>
        <v>21647.796051600002</v>
      </c>
      <c r="AE41" s="256">
        <f>(0.18*'Tab H'!P40)</f>
        <v>22297.229933148003</v>
      </c>
      <c r="AF41" s="206">
        <f>ROUND($Y$4*'Tab H'!Q40,0)</f>
        <v>24296</v>
      </c>
      <c r="AG41" s="257">
        <f>ROUND($Y$4*'Tab H'!R40,0)</f>
        <v>24296</v>
      </c>
      <c r="AH41" s="258">
        <f t="shared" si="22"/>
        <v>6074</v>
      </c>
      <c r="AI41" s="258">
        <f t="shared" si="22"/>
        <v>6074</v>
      </c>
      <c r="AJ41" s="258">
        <f t="shared" si="22"/>
        <v>6074</v>
      </c>
      <c r="AK41" s="258">
        <f t="shared" si="22"/>
        <v>6074</v>
      </c>
      <c r="AL41" s="206">
        <v>0.13</v>
      </c>
      <c r="AM41" s="206">
        <v>0.13</v>
      </c>
      <c r="AN41" s="206">
        <v>0.13</v>
      </c>
      <c r="AO41" s="206">
        <v>0.13</v>
      </c>
      <c r="AP41" s="206">
        <v>0.13</v>
      </c>
      <c r="AQ41" s="206">
        <v>0.13</v>
      </c>
      <c r="AR41" s="206">
        <v>0.13</v>
      </c>
      <c r="AS41" s="260">
        <f t="shared" si="43"/>
        <v>0.13</v>
      </c>
      <c r="AT41" s="260">
        <f t="shared" si="44"/>
        <v>0.13</v>
      </c>
      <c r="AU41" s="260">
        <f t="shared" si="45"/>
        <v>0.13</v>
      </c>
      <c r="AV41" s="260">
        <f t="shared" si="46"/>
        <v>0.13</v>
      </c>
      <c r="AW41" s="260">
        <f t="shared" si="47"/>
        <v>0.13</v>
      </c>
      <c r="AX41" s="260">
        <f t="shared" si="48"/>
        <v>0.13</v>
      </c>
      <c r="AY41" s="256">
        <f t="shared" si="23"/>
        <v>2575.404</v>
      </c>
      <c r="AZ41" s="256">
        <f t="shared" si="24"/>
        <v>2575.404</v>
      </c>
      <c r="BA41" s="256">
        <f t="shared" si="25"/>
        <v>2652.6661199999999</v>
      </c>
      <c r="BB41" s="256">
        <f t="shared" si="26"/>
        <v>2732.2461036000004</v>
      </c>
      <c r="BC41" s="256">
        <f t="shared" si="27"/>
        <v>2814.2134867080003</v>
      </c>
      <c r="BD41" s="256">
        <f t="shared" si="28"/>
        <v>2898.6398913092403</v>
      </c>
      <c r="BE41" s="206">
        <f t="shared" si="29"/>
        <v>3158</v>
      </c>
      <c r="BF41" s="257">
        <f t="shared" si="49"/>
        <v>3158</v>
      </c>
      <c r="BG41" s="258">
        <f t="shared" si="30"/>
        <v>789.5</v>
      </c>
      <c r="BH41" s="258">
        <f t="shared" si="30"/>
        <v>789.5</v>
      </c>
      <c r="BI41" s="258">
        <f t="shared" si="30"/>
        <v>789.5</v>
      </c>
      <c r="BJ41" s="258">
        <f t="shared" si="30"/>
        <v>789.5</v>
      </c>
      <c r="BK41" s="260">
        <v>0.04</v>
      </c>
      <c r="BL41" s="256">
        <f>($BK$4*'Tab H'!K40)</f>
        <v>4402.4000000000005</v>
      </c>
      <c r="BM41" s="256">
        <f>($BK$4*'Tab H'!L40)</f>
        <v>4402.4000000000005</v>
      </c>
      <c r="BN41" s="256">
        <f>($BK$4*'Tab H'!M40)</f>
        <v>4534.4720000000007</v>
      </c>
      <c r="BO41" s="256">
        <f>($BK$4*'Tab H'!N40)</f>
        <v>4670.5061600000008</v>
      </c>
      <c r="BP41" s="256">
        <f>($BK$4*'Tab H'!O40)</f>
        <v>4810.6213448000008</v>
      </c>
      <c r="BQ41" s="256">
        <f>($BK$4*'Tab H'!P40)</f>
        <v>4954.9399851440012</v>
      </c>
      <c r="BR41" s="256">
        <f t="shared" si="31"/>
        <v>5142</v>
      </c>
      <c r="BS41" s="257">
        <f>ROUND($BK$4*'Tab H'!R40,0)</f>
        <v>5142</v>
      </c>
      <c r="BT41" s="258">
        <f t="shared" si="32"/>
        <v>1285.5</v>
      </c>
      <c r="BU41" s="258">
        <f t="shared" si="32"/>
        <v>1285.5</v>
      </c>
      <c r="BV41" s="258">
        <f t="shared" si="32"/>
        <v>1285.5</v>
      </c>
      <c r="BW41" s="258">
        <f t="shared" si="32"/>
        <v>1285.5</v>
      </c>
      <c r="BX41" s="255">
        <v>0.04</v>
      </c>
      <c r="BY41" s="447">
        <f>ROUND($BX$4*'Tab H'!K40,0)</f>
        <v>4402</v>
      </c>
      <c r="BZ41" s="493">
        <f>ROUND($BX$4*'Tab H'!L40,0)</f>
        <v>4402</v>
      </c>
      <c r="CA41" s="447">
        <f>ROUND($BX$4*'Tab H'!M40,0)</f>
        <v>4534</v>
      </c>
      <c r="CB41" s="447">
        <f>ROUND($BX$4*'Tab H'!N40,0)</f>
        <v>4671</v>
      </c>
      <c r="CC41" s="447">
        <f>ROUND($BX$4*'Tab H'!O40,0)</f>
        <v>4811</v>
      </c>
      <c r="CF41" s="260">
        <v>0.21</v>
      </c>
      <c r="CG41" s="256">
        <f>($CF$4*'Tab H'!K40)</f>
        <v>23112.6</v>
      </c>
      <c r="CH41" s="256">
        <f>($CF$4*'Tab H'!L40)</f>
        <v>23112.6</v>
      </c>
      <c r="CI41" s="256">
        <f>($CF$4*'Tab H'!M40)</f>
        <v>23805.977999999999</v>
      </c>
      <c r="CJ41" s="256">
        <f>($CF$4*'Tab H'!N40)</f>
        <v>24520.157340000002</v>
      </c>
      <c r="CK41" s="256">
        <f>($CF$4*'Tab H'!O40)</f>
        <v>25255.762060200002</v>
      </c>
      <c r="CL41" s="256">
        <f>($CF$4*'Tab H'!P40)</f>
        <v>26013.434922006003</v>
      </c>
      <c r="CM41" s="206">
        <f>ROUND($CF$4*'Tab H'!Q40,0)</f>
        <v>26995</v>
      </c>
      <c r="CN41" s="257">
        <f>ROUND($CF$4*'Tab H'!R40,0)</f>
        <v>26995</v>
      </c>
      <c r="CO41" s="258">
        <f t="shared" si="33"/>
        <v>6748.75</v>
      </c>
      <c r="CP41" s="258">
        <f t="shared" si="33"/>
        <v>6748.75</v>
      </c>
      <c r="CQ41" s="258">
        <f t="shared" si="33"/>
        <v>6748.75</v>
      </c>
      <c r="CR41" s="258">
        <f t="shared" si="33"/>
        <v>6748.75</v>
      </c>
      <c r="CS41" s="206">
        <v>0.05</v>
      </c>
      <c r="CT41" s="206">
        <v>0.05</v>
      </c>
      <c r="CU41" s="206">
        <v>0.05</v>
      </c>
      <c r="CV41" s="206">
        <v>0.05</v>
      </c>
      <c r="CW41" s="206">
        <v>0.05</v>
      </c>
      <c r="CX41" s="206">
        <v>0.05</v>
      </c>
      <c r="CY41" s="206">
        <v>0.05</v>
      </c>
      <c r="CZ41" s="259">
        <f t="shared" si="50"/>
        <v>0.05</v>
      </c>
      <c r="DA41" s="259">
        <f t="shared" si="51"/>
        <v>0.05</v>
      </c>
      <c r="DB41" s="259">
        <f t="shared" si="52"/>
        <v>0.05</v>
      </c>
      <c r="DC41" s="259">
        <f t="shared" si="53"/>
        <v>0.05</v>
      </c>
      <c r="DD41" s="259">
        <f t="shared" si="54"/>
        <v>0.05</v>
      </c>
      <c r="DE41" s="259">
        <f t="shared" si="55"/>
        <v>0.05</v>
      </c>
      <c r="DF41" s="256">
        <f t="shared" si="34"/>
        <v>1155.6299999999999</v>
      </c>
      <c r="DG41" s="256">
        <f t="shared" si="35"/>
        <v>1155.6299999999999</v>
      </c>
      <c r="DH41" s="256">
        <f t="shared" si="36"/>
        <v>1190.2989</v>
      </c>
      <c r="DI41" s="256">
        <f t="shared" si="37"/>
        <v>1226.007867</v>
      </c>
      <c r="DJ41" s="256">
        <f t="shared" si="38"/>
        <v>1262.7881030100002</v>
      </c>
      <c r="DK41" s="256">
        <f t="shared" si="39"/>
        <v>1300.6717461003002</v>
      </c>
      <c r="DL41" s="206">
        <f t="shared" si="40"/>
        <v>1350</v>
      </c>
      <c r="DM41" s="257">
        <f t="shared" si="56"/>
        <v>1350</v>
      </c>
      <c r="DN41" s="258">
        <f t="shared" si="41"/>
        <v>337.5</v>
      </c>
      <c r="DO41" s="258">
        <f t="shared" si="41"/>
        <v>337.5</v>
      </c>
      <c r="DP41" s="258">
        <f t="shared" si="41"/>
        <v>337.5</v>
      </c>
      <c r="DQ41" s="258">
        <f t="shared" si="41"/>
        <v>337.5</v>
      </c>
    </row>
    <row r="42" spans="1:121" x14ac:dyDescent="0.3">
      <c r="A42" s="750" t="s">
        <v>130</v>
      </c>
      <c r="B42" s="205" t="s">
        <v>171</v>
      </c>
      <c r="C42" s="206">
        <v>14</v>
      </c>
      <c r="D42" s="255">
        <v>3.49E-2</v>
      </c>
      <c r="E42" s="256">
        <f>($D$4*'Tab H'!K41)</f>
        <v>2451.4807000000001</v>
      </c>
      <c r="F42" s="256">
        <f>($D$4*'Tab H'!L41)</f>
        <v>1838.6105250000001</v>
      </c>
      <c r="G42" s="256">
        <f>($D$4*'Tab H'!M41)</f>
        <v>2525.0251210000001</v>
      </c>
      <c r="H42" s="256">
        <f>($D$4*'Tab H'!N41)</f>
        <v>2600.7758746300005</v>
      </c>
      <c r="I42" s="256">
        <f>($D$4*'Tab H'!O41)</f>
        <v>2678.7991508689006</v>
      </c>
      <c r="J42" s="256">
        <f>($D$4*'Tab H'!P41)</f>
        <v>2759.1631253949677</v>
      </c>
      <c r="K42" s="206">
        <f>ROUND($D$4*'Tab H'!Q41,0)</f>
        <v>2863</v>
      </c>
      <c r="L42" s="257">
        <f>ROUND($D$4*'Tab H'!R41,0)</f>
        <v>2863</v>
      </c>
      <c r="M42" s="258">
        <f t="shared" si="42"/>
        <v>715.75</v>
      </c>
      <c r="N42" s="258">
        <f t="shared" si="42"/>
        <v>715.75</v>
      </c>
      <c r="O42" s="258">
        <f t="shared" si="42"/>
        <v>715.75</v>
      </c>
      <c r="P42" s="258">
        <f t="shared" si="42"/>
        <v>715.75</v>
      </c>
      <c r="Q42" s="255">
        <v>3.49E-2</v>
      </c>
      <c r="Y42" s="259">
        <v>0.189</v>
      </c>
      <c r="Z42" s="256">
        <f>(0.18*'Tab H'!K41)</f>
        <v>12643.74</v>
      </c>
      <c r="AA42" s="256">
        <f>(0.18*'Tab H'!L41)</f>
        <v>9482.8050000000003</v>
      </c>
      <c r="AB42" s="256">
        <f>(0.18*'Tab H'!M41)</f>
        <v>13023.0522</v>
      </c>
      <c r="AC42" s="256">
        <f>(0.18*'Tab H'!N41)</f>
        <v>13413.743766000001</v>
      </c>
      <c r="AD42" s="256">
        <f>(0.18*'Tab H'!O41)</f>
        <v>13816.156078980002</v>
      </c>
      <c r="AE42" s="256">
        <f>(0.18*'Tab H'!P41)</f>
        <v>14230.640761349403</v>
      </c>
      <c r="AF42" s="206">
        <f>ROUND($Y$4*'Tab H'!Q41,0)</f>
        <v>15505</v>
      </c>
      <c r="AG42" s="257">
        <f>ROUND($Y$4*'Tab H'!R41,0)</f>
        <v>15505</v>
      </c>
      <c r="AH42" s="258">
        <f t="shared" si="22"/>
        <v>3876.25</v>
      </c>
      <c r="AI42" s="258">
        <f t="shared" si="22"/>
        <v>3876.25</v>
      </c>
      <c r="AJ42" s="258">
        <f t="shared" si="22"/>
        <v>3876.25</v>
      </c>
      <c r="AK42" s="258">
        <f t="shared" si="22"/>
        <v>3876.25</v>
      </c>
      <c r="AL42" s="206">
        <v>0.13</v>
      </c>
      <c r="AM42" s="206">
        <v>0.13</v>
      </c>
      <c r="AN42" s="206">
        <v>0.13</v>
      </c>
      <c r="AO42" s="206">
        <v>0.13</v>
      </c>
      <c r="AP42" s="206">
        <v>0.13</v>
      </c>
      <c r="AQ42" s="206">
        <v>0.13</v>
      </c>
      <c r="AR42" s="206">
        <v>0.13</v>
      </c>
      <c r="AS42" s="260">
        <f t="shared" si="43"/>
        <v>0.13</v>
      </c>
      <c r="AT42" s="260">
        <f t="shared" si="44"/>
        <v>0.13</v>
      </c>
      <c r="AU42" s="260">
        <f t="shared" si="45"/>
        <v>0.13</v>
      </c>
      <c r="AV42" s="260">
        <f t="shared" si="46"/>
        <v>0.13</v>
      </c>
      <c r="AW42" s="260">
        <f t="shared" si="47"/>
        <v>0.13</v>
      </c>
      <c r="AX42" s="260">
        <f t="shared" si="48"/>
        <v>0.13</v>
      </c>
      <c r="AY42" s="256">
        <f t="shared" si="23"/>
        <v>1643.6862000000001</v>
      </c>
      <c r="AZ42" s="256">
        <f t="shared" si="24"/>
        <v>1232.7646500000001</v>
      </c>
      <c r="BA42" s="256">
        <f t="shared" si="25"/>
        <v>1692.9967860000002</v>
      </c>
      <c r="BB42" s="256">
        <f t="shared" si="26"/>
        <v>1743.7866895800003</v>
      </c>
      <c r="BC42" s="256">
        <f t="shared" si="27"/>
        <v>1796.1002902674004</v>
      </c>
      <c r="BD42" s="256">
        <f t="shared" si="28"/>
        <v>1849.9832989754225</v>
      </c>
      <c r="BE42" s="206">
        <f t="shared" si="29"/>
        <v>2016</v>
      </c>
      <c r="BF42" s="257">
        <f t="shared" si="49"/>
        <v>2016</v>
      </c>
      <c r="BG42" s="258">
        <f t="shared" si="30"/>
        <v>504</v>
      </c>
      <c r="BH42" s="258">
        <f t="shared" si="30"/>
        <v>504</v>
      </c>
      <c r="BI42" s="258">
        <f t="shared" si="30"/>
        <v>504</v>
      </c>
      <c r="BJ42" s="258">
        <f t="shared" si="30"/>
        <v>504</v>
      </c>
      <c r="BK42" s="260">
        <v>0.04</v>
      </c>
      <c r="BL42" s="256">
        <f>($BK$4*'Tab H'!K41)</f>
        <v>2809.7200000000003</v>
      </c>
      <c r="BM42" s="256">
        <f>($BK$4*'Tab H'!L41)</f>
        <v>2107.29</v>
      </c>
      <c r="BN42" s="256">
        <f>($BK$4*'Tab H'!M41)</f>
        <v>2894.0116000000003</v>
      </c>
      <c r="BO42" s="256">
        <f>($BK$4*'Tab H'!N41)</f>
        <v>2980.8319480000005</v>
      </c>
      <c r="BP42" s="256">
        <f>($BK$4*'Tab H'!O41)</f>
        <v>3070.2569064400009</v>
      </c>
      <c r="BQ42" s="256">
        <f>($BK$4*'Tab H'!P41)</f>
        <v>3162.3646136332009</v>
      </c>
      <c r="BR42" s="256">
        <f t="shared" si="31"/>
        <v>3282</v>
      </c>
      <c r="BS42" s="257">
        <f>ROUND($BK$4*'Tab H'!R41,0)</f>
        <v>3282</v>
      </c>
      <c r="BT42" s="258">
        <f t="shared" si="32"/>
        <v>820.5</v>
      </c>
      <c r="BU42" s="258">
        <f t="shared" si="32"/>
        <v>820.5</v>
      </c>
      <c r="BV42" s="258">
        <f t="shared" si="32"/>
        <v>820.5</v>
      </c>
      <c r="BW42" s="258">
        <f t="shared" si="32"/>
        <v>820.5</v>
      </c>
      <c r="BX42" s="255">
        <v>0.04</v>
      </c>
      <c r="CF42" s="260">
        <v>0.21</v>
      </c>
      <c r="CG42" s="256">
        <f>($CF$4*'Tab H'!K41)</f>
        <v>14751.029999999999</v>
      </c>
      <c r="CH42" s="256">
        <f>($CF$4*'Tab H'!L41)</f>
        <v>11063.272499999999</v>
      </c>
      <c r="CI42" s="256">
        <f>($CF$4*'Tab H'!M41)</f>
        <v>15193.5609</v>
      </c>
      <c r="CJ42" s="256">
        <f>($CF$4*'Tab H'!N41)</f>
        <v>15649.367727000003</v>
      </c>
      <c r="CK42" s="256">
        <f>($CF$4*'Tab H'!O41)</f>
        <v>16118.848758810003</v>
      </c>
      <c r="CL42" s="256">
        <f>($CF$4*'Tab H'!P41)</f>
        <v>16602.414221574301</v>
      </c>
      <c r="CM42" s="206">
        <f>ROUND($CF$4*'Tab H'!Q41,0)</f>
        <v>17228</v>
      </c>
      <c r="CN42" s="257">
        <f>ROUND($CF$4*'Tab H'!R41,0)</f>
        <v>17228</v>
      </c>
      <c r="CO42" s="258">
        <f t="shared" si="33"/>
        <v>4307</v>
      </c>
      <c r="CP42" s="258">
        <f t="shared" si="33"/>
        <v>4307</v>
      </c>
      <c r="CQ42" s="258">
        <f t="shared" si="33"/>
        <v>4307</v>
      </c>
      <c r="CR42" s="258">
        <f t="shared" si="33"/>
        <v>4307</v>
      </c>
      <c r="CS42" s="206">
        <v>6.5000000000000002E-2</v>
      </c>
      <c r="CT42" s="206">
        <v>6.5000000000000002E-2</v>
      </c>
      <c r="CU42" s="206">
        <v>6.5000000000000002E-2</v>
      </c>
      <c r="CV42" s="206">
        <v>6.5000000000000002E-2</v>
      </c>
      <c r="CW42" s="206">
        <v>6.5000000000000002E-2</v>
      </c>
      <c r="CX42" s="206">
        <v>6.5000000000000002E-2</v>
      </c>
      <c r="CY42" s="206">
        <v>6.5000000000000002E-2</v>
      </c>
      <c r="CZ42" s="259">
        <f t="shared" si="50"/>
        <v>6.5000000000000002E-2</v>
      </c>
      <c r="DA42" s="259">
        <f t="shared" si="51"/>
        <v>6.5000000000000002E-2</v>
      </c>
      <c r="DB42" s="259">
        <f t="shared" si="52"/>
        <v>6.5000000000000002E-2</v>
      </c>
      <c r="DC42" s="259">
        <f t="shared" si="53"/>
        <v>6.5000000000000002E-2</v>
      </c>
      <c r="DD42" s="259">
        <f t="shared" si="54"/>
        <v>6.5000000000000002E-2</v>
      </c>
      <c r="DE42" s="259">
        <f t="shared" si="55"/>
        <v>6.5000000000000002E-2</v>
      </c>
      <c r="DF42" s="256">
        <f t="shared" si="34"/>
        <v>958.81694999999991</v>
      </c>
      <c r="DG42" s="256">
        <f t="shared" si="35"/>
        <v>719.11271249999993</v>
      </c>
      <c r="DH42" s="256">
        <f t="shared" si="36"/>
        <v>987.58145850000005</v>
      </c>
      <c r="DI42" s="256">
        <f t="shared" si="37"/>
        <v>1017.2089022550002</v>
      </c>
      <c r="DJ42" s="256">
        <f t="shared" si="38"/>
        <v>1047.7251693226503</v>
      </c>
      <c r="DK42" s="256">
        <f t="shared" si="39"/>
        <v>1079.1569244023297</v>
      </c>
      <c r="DL42" s="206">
        <f t="shared" si="40"/>
        <v>1120</v>
      </c>
      <c r="DM42" s="257">
        <f t="shared" si="56"/>
        <v>1120</v>
      </c>
      <c r="DN42" s="258">
        <f t="shared" si="41"/>
        <v>280</v>
      </c>
      <c r="DO42" s="258">
        <f t="shared" si="41"/>
        <v>280</v>
      </c>
      <c r="DP42" s="258">
        <f t="shared" si="41"/>
        <v>280</v>
      </c>
      <c r="DQ42" s="258">
        <f t="shared" si="41"/>
        <v>280</v>
      </c>
    </row>
    <row r="43" spans="1:121" x14ac:dyDescent="0.3">
      <c r="A43" s="750"/>
      <c r="B43" s="205" t="s">
        <v>172</v>
      </c>
      <c r="C43" s="206">
        <v>17</v>
      </c>
      <c r="D43" s="255">
        <v>3.49E-2</v>
      </c>
      <c r="E43" s="256">
        <f>($D$4*'Tab H'!K42)</f>
        <v>5955.3360000000002</v>
      </c>
      <c r="F43" s="256">
        <f>($D$4*'Tab H'!L42)</f>
        <v>4466.5020000000004</v>
      </c>
      <c r="G43" s="256">
        <f>($D$4*'Tab H'!M42)</f>
        <v>6133.9960800000008</v>
      </c>
      <c r="H43" s="256">
        <f>($D$4*'Tab H'!N42)</f>
        <v>6318.0159624000007</v>
      </c>
      <c r="I43" s="256">
        <f>($D$4*'Tab H'!O42)</f>
        <v>6507.5564412720014</v>
      </c>
      <c r="J43" s="256">
        <f>($D$4*'Tab H'!P42)</f>
        <v>6702.7831345101622</v>
      </c>
      <c r="K43" s="206">
        <f>ROUND($D$4*'Tab H'!Q42,0)</f>
        <v>6956</v>
      </c>
      <c r="L43" s="257">
        <f>ROUND($D$4*'Tab H'!R42,0)</f>
        <v>6956</v>
      </c>
      <c r="M43" s="258">
        <f t="shared" si="42"/>
        <v>1739</v>
      </c>
      <c r="N43" s="258">
        <f t="shared" si="42"/>
        <v>1739</v>
      </c>
      <c r="O43" s="258">
        <f t="shared" si="42"/>
        <v>1739</v>
      </c>
      <c r="P43" s="258">
        <f t="shared" si="42"/>
        <v>1739</v>
      </c>
      <c r="Q43" s="255">
        <v>3.49E-2</v>
      </c>
      <c r="Y43" s="259">
        <v>0.189</v>
      </c>
      <c r="Z43" s="256">
        <f>(0.18*'Tab H'!K42)</f>
        <v>30715.199999999997</v>
      </c>
      <c r="AA43" s="256">
        <f>(0.18*'Tab H'!L42)</f>
        <v>23036.399999999998</v>
      </c>
      <c r="AB43" s="256">
        <f>(0.18*'Tab H'!M42)</f>
        <v>31636.656000000003</v>
      </c>
      <c r="AC43" s="256">
        <f>(0.18*'Tab H'!N42)</f>
        <v>32585.755680000002</v>
      </c>
      <c r="AD43" s="256">
        <f>(0.18*'Tab H'!O42)</f>
        <v>33563.328350400006</v>
      </c>
      <c r="AE43" s="256">
        <f>(0.18*'Tab H'!P42)</f>
        <v>34570.22820091201</v>
      </c>
      <c r="AF43" s="206">
        <f>ROUND($Y$4*'Tab H'!Q42,0)</f>
        <v>37668</v>
      </c>
      <c r="AG43" s="257">
        <f>ROUND($Y$4*'Tab H'!R42,0)</f>
        <v>37668</v>
      </c>
      <c r="AH43" s="258">
        <f t="shared" si="22"/>
        <v>9417</v>
      </c>
      <c r="AI43" s="258">
        <f t="shared" si="22"/>
        <v>9417</v>
      </c>
      <c r="AJ43" s="258">
        <f t="shared" si="22"/>
        <v>9417</v>
      </c>
      <c r="AK43" s="258">
        <f t="shared" si="22"/>
        <v>9417</v>
      </c>
      <c r="AL43" s="206">
        <v>0.13</v>
      </c>
      <c r="AM43" s="206">
        <v>0.13</v>
      </c>
      <c r="AN43" s="206">
        <v>0.13</v>
      </c>
      <c r="AO43" s="206">
        <v>0.13</v>
      </c>
      <c r="AP43" s="206">
        <v>0.13</v>
      </c>
      <c r="AQ43" s="206">
        <v>0.13</v>
      </c>
      <c r="AR43" s="206">
        <v>0.13</v>
      </c>
      <c r="AS43" s="260">
        <f t="shared" si="43"/>
        <v>0.13</v>
      </c>
      <c r="AT43" s="260">
        <f t="shared" si="44"/>
        <v>0.13</v>
      </c>
      <c r="AU43" s="260">
        <f t="shared" si="45"/>
        <v>0.13</v>
      </c>
      <c r="AV43" s="260">
        <f t="shared" si="46"/>
        <v>0.13</v>
      </c>
      <c r="AW43" s="260">
        <f t="shared" si="47"/>
        <v>0.13</v>
      </c>
      <c r="AX43" s="260">
        <f t="shared" si="48"/>
        <v>0.13</v>
      </c>
      <c r="AY43" s="256">
        <f t="shared" si="23"/>
        <v>3992.9759999999997</v>
      </c>
      <c r="AZ43" s="256">
        <f t="shared" si="24"/>
        <v>2994.732</v>
      </c>
      <c r="BA43" s="256">
        <f t="shared" si="25"/>
        <v>4112.7652800000005</v>
      </c>
      <c r="BB43" s="256">
        <f t="shared" si="26"/>
        <v>4236.1482384000001</v>
      </c>
      <c r="BC43" s="256">
        <f t="shared" si="27"/>
        <v>4363.2326855520014</v>
      </c>
      <c r="BD43" s="256">
        <f t="shared" si="28"/>
        <v>4494.1296661185615</v>
      </c>
      <c r="BE43" s="206">
        <f t="shared" si="29"/>
        <v>4897</v>
      </c>
      <c r="BF43" s="257">
        <f t="shared" si="49"/>
        <v>4897</v>
      </c>
      <c r="BG43" s="258">
        <f t="shared" si="30"/>
        <v>1224.25</v>
      </c>
      <c r="BH43" s="258">
        <f t="shared" si="30"/>
        <v>1224.25</v>
      </c>
      <c r="BI43" s="258">
        <f t="shared" si="30"/>
        <v>1224.25</v>
      </c>
      <c r="BJ43" s="258">
        <f t="shared" si="30"/>
        <v>1224.25</v>
      </c>
      <c r="BK43" s="260">
        <v>0.04</v>
      </c>
      <c r="BL43" s="256">
        <f>($BK$4*'Tab H'!K42)</f>
        <v>6825.6</v>
      </c>
      <c r="BM43" s="256">
        <f>($BK$4*'Tab H'!L42)</f>
        <v>5119.2</v>
      </c>
      <c r="BN43" s="256">
        <f>($BK$4*'Tab H'!M42)</f>
        <v>7030.3680000000004</v>
      </c>
      <c r="BO43" s="256">
        <f>($BK$4*'Tab H'!N42)</f>
        <v>7241.2790400000013</v>
      </c>
      <c r="BP43" s="256">
        <f>($BK$4*'Tab H'!O42)</f>
        <v>7458.5174112000013</v>
      </c>
      <c r="BQ43" s="256">
        <f>($BK$4*'Tab H'!P42)</f>
        <v>7682.2729335360018</v>
      </c>
      <c r="BR43" s="256">
        <f t="shared" si="31"/>
        <v>7972</v>
      </c>
      <c r="BS43" s="257">
        <f>ROUND($BK$4*'Tab H'!R42,0)</f>
        <v>7972</v>
      </c>
      <c r="BT43" s="258">
        <f t="shared" si="32"/>
        <v>1993</v>
      </c>
      <c r="BU43" s="258">
        <f t="shared" si="32"/>
        <v>1993</v>
      </c>
      <c r="BV43" s="258">
        <f t="shared" si="32"/>
        <v>1993</v>
      </c>
      <c r="BW43" s="258">
        <f t="shared" si="32"/>
        <v>1993</v>
      </c>
      <c r="BX43" s="255">
        <v>0.04</v>
      </c>
      <c r="CF43" s="260">
        <v>0.21</v>
      </c>
      <c r="CG43" s="256">
        <f>($CF$4*'Tab H'!K42)</f>
        <v>35834.400000000001</v>
      </c>
      <c r="CH43" s="256">
        <f>($CF$4*'Tab H'!L42)</f>
        <v>26875.8</v>
      </c>
      <c r="CI43" s="256">
        <f>($CF$4*'Tab H'!M42)</f>
        <v>36909.432000000001</v>
      </c>
      <c r="CJ43" s="256">
        <f>($CF$4*'Tab H'!N42)</f>
        <v>38016.714960000005</v>
      </c>
      <c r="CK43" s="256">
        <f>($CF$4*'Tab H'!O42)</f>
        <v>39157.216408800006</v>
      </c>
      <c r="CL43" s="256">
        <f>($CF$4*'Tab H'!P42)</f>
        <v>40331.932901064007</v>
      </c>
      <c r="CM43" s="206">
        <f>ROUND($CF$4*'Tab H'!Q42,0)</f>
        <v>41853</v>
      </c>
      <c r="CN43" s="257">
        <f>ROUND($CF$4*'Tab H'!R42,0)</f>
        <v>41853</v>
      </c>
      <c r="CO43" s="258">
        <f t="shared" si="33"/>
        <v>10463.25</v>
      </c>
      <c r="CP43" s="258">
        <f t="shared" si="33"/>
        <v>10463.25</v>
      </c>
      <c r="CQ43" s="258">
        <f t="shared" si="33"/>
        <v>10463.25</v>
      </c>
      <c r="CR43" s="258">
        <f t="shared" si="33"/>
        <v>10463.25</v>
      </c>
      <c r="CS43" s="206">
        <v>6.5000000000000002E-2</v>
      </c>
      <c r="CT43" s="206">
        <v>6.5000000000000002E-2</v>
      </c>
      <c r="CU43" s="206">
        <v>6.5000000000000002E-2</v>
      </c>
      <c r="CV43" s="206">
        <v>6.5000000000000002E-2</v>
      </c>
      <c r="CW43" s="206">
        <v>6.5000000000000002E-2</v>
      </c>
      <c r="CX43" s="206">
        <v>6.5000000000000002E-2</v>
      </c>
      <c r="CY43" s="206">
        <v>6.5000000000000002E-2</v>
      </c>
      <c r="CZ43" s="259">
        <f t="shared" si="50"/>
        <v>6.5000000000000002E-2</v>
      </c>
      <c r="DA43" s="259">
        <f t="shared" si="51"/>
        <v>6.5000000000000002E-2</v>
      </c>
      <c r="DB43" s="259">
        <f t="shared" si="52"/>
        <v>6.5000000000000002E-2</v>
      </c>
      <c r="DC43" s="259">
        <f t="shared" si="53"/>
        <v>6.5000000000000002E-2</v>
      </c>
      <c r="DD43" s="259">
        <f t="shared" si="54"/>
        <v>6.5000000000000002E-2</v>
      </c>
      <c r="DE43" s="259">
        <f t="shared" si="55"/>
        <v>6.5000000000000002E-2</v>
      </c>
      <c r="DF43" s="256">
        <f t="shared" si="34"/>
        <v>2329.2360000000003</v>
      </c>
      <c r="DG43" s="256">
        <f t="shared" si="35"/>
        <v>1746.9269999999999</v>
      </c>
      <c r="DH43" s="256">
        <f t="shared" si="36"/>
        <v>2399.1130800000001</v>
      </c>
      <c r="DI43" s="256">
        <f t="shared" si="37"/>
        <v>2471.0864724000003</v>
      </c>
      <c r="DJ43" s="256">
        <f t="shared" si="38"/>
        <v>2545.2190665720004</v>
      </c>
      <c r="DK43" s="256">
        <f t="shared" si="39"/>
        <v>2621.5756385691607</v>
      </c>
      <c r="DL43" s="206">
        <f t="shared" si="40"/>
        <v>2720</v>
      </c>
      <c r="DM43" s="257">
        <f t="shared" si="56"/>
        <v>2720</v>
      </c>
      <c r="DN43" s="258">
        <f t="shared" si="41"/>
        <v>680</v>
      </c>
      <c r="DO43" s="258">
        <f t="shared" si="41"/>
        <v>680</v>
      </c>
      <c r="DP43" s="258">
        <f t="shared" si="41"/>
        <v>680</v>
      </c>
      <c r="DQ43" s="258">
        <f t="shared" si="41"/>
        <v>680</v>
      </c>
    </row>
    <row r="44" spans="1:121" x14ac:dyDescent="0.3">
      <c r="A44" s="750"/>
      <c r="B44" s="205" t="s">
        <v>173</v>
      </c>
      <c r="C44" s="206">
        <v>20</v>
      </c>
      <c r="D44" s="255">
        <v>3.49E-2</v>
      </c>
      <c r="E44" s="256">
        <f>($D$4*'Tab H'!K43)</f>
        <v>5308.5692000000008</v>
      </c>
      <c r="F44" s="256">
        <f>($D$4*'Tab H'!L43)</f>
        <v>3981.4269000000008</v>
      </c>
      <c r="G44" s="256">
        <f>($D$4*'Tab H'!M43)</f>
        <v>5467.8262760000007</v>
      </c>
      <c r="H44" s="256">
        <f>($D$4*'Tab H'!N43)</f>
        <v>5631.8610642800004</v>
      </c>
      <c r="I44" s="256">
        <f>($D$4*'Tab H'!O43)</f>
        <v>5800.8168962084001</v>
      </c>
      <c r="J44" s="256">
        <f>($D$4*'Tab H'!P43)</f>
        <v>5974.8414030946533</v>
      </c>
      <c r="K44" s="206">
        <f>ROUND($D$4*'Tab H'!Q43,0)</f>
        <v>6200</v>
      </c>
      <c r="L44" s="257">
        <f>ROUND($D$4*'Tab H'!R43,0)</f>
        <v>6200</v>
      </c>
      <c r="M44" s="258">
        <f t="shared" ref="M44:P52" si="57">$L44/4</f>
        <v>1550</v>
      </c>
      <c r="N44" s="258">
        <f t="shared" si="57"/>
        <v>1550</v>
      </c>
      <c r="O44" s="258">
        <f t="shared" si="57"/>
        <v>1550</v>
      </c>
      <c r="P44" s="258">
        <f t="shared" si="57"/>
        <v>1550</v>
      </c>
      <c r="Q44" s="255">
        <v>3.49E-2</v>
      </c>
      <c r="Y44" s="259">
        <v>0.189</v>
      </c>
      <c r="Z44" s="256">
        <f>(0.18*'Tab H'!K43)</f>
        <v>27379.440000000006</v>
      </c>
      <c r="AA44" s="256">
        <f>(0.18*'Tab H'!L43)</f>
        <v>20534.580000000005</v>
      </c>
      <c r="AB44" s="256">
        <f>(0.18*'Tab H'!M43)</f>
        <v>28200.823200000003</v>
      </c>
      <c r="AC44" s="256">
        <f>(0.18*'Tab H'!N43)</f>
        <v>29046.847896000003</v>
      </c>
      <c r="AD44" s="256">
        <f>(0.18*'Tab H'!O43)</f>
        <v>29918.253332880002</v>
      </c>
      <c r="AE44" s="256">
        <f>(0.18*'Tab H'!P43)</f>
        <v>30815.800932866405</v>
      </c>
      <c r="AF44" s="206">
        <f>ROUND($Y$4*'Tab H'!Q43,0)</f>
        <v>33577</v>
      </c>
      <c r="AG44" s="257">
        <f>ROUND($Y$4*'Tab H'!R43,0)</f>
        <v>33577</v>
      </c>
      <c r="AH44" s="258">
        <f t="shared" si="22"/>
        <v>8394.25</v>
      </c>
      <c r="AI44" s="258">
        <f t="shared" si="22"/>
        <v>8394.25</v>
      </c>
      <c r="AJ44" s="258">
        <f t="shared" si="22"/>
        <v>8394.25</v>
      </c>
      <c r="AK44" s="258">
        <f t="shared" si="22"/>
        <v>8394.25</v>
      </c>
      <c r="AL44" s="206">
        <v>0.13</v>
      </c>
      <c r="AM44" s="206">
        <v>0.13</v>
      </c>
      <c r="AN44" s="206">
        <v>0.13</v>
      </c>
      <c r="AO44" s="206">
        <v>0.13</v>
      </c>
      <c r="AP44" s="206">
        <v>0.13</v>
      </c>
      <c r="AQ44" s="206">
        <v>0.13</v>
      </c>
      <c r="AR44" s="206">
        <v>0.13</v>
      </c>
      <c r="AS44" s="260">
        <f t="shared" si="43"/>
        <v>0.13</v>
      </c>
      <c r="AT44" s="260">
        <f t="shared" si="44"/>
        <v>0.13</v>
      </c>
      <c r="AU44" s="260">
        <f t="shared" si="45"/>
        <v>0.13</v>
      </c>
      <c r="AV44" s="260">
        <f t="shared" si="46"/>
        <v>0.13</v>
      </c>
      <c r="AW44" s="260">
        <f t="shared" si="47"/>
        <v>0.13</v>
      </c>
      <c r="AX44" s="260">
        <f t="shared" si="48"/>
        <v>0.13</v>
      </c>
      <c r="AY44" s="256">
        <f t="shared" si="23"/>
        <v>3559.3272000000011</v>
      </c>
      <c r="AZ44" s="256">
        <f t="shared" si="24"/>
        <v>2669.4954000000007</v>
      </c>
      <c r="BA44" s="256">
        <f t="shared" si="25"/>
        <v>3666.1070160000004</v>
      </c>
      <c r="BB44" s="256">
        <f t="shared" si="26"/>
        <v>3776.0902264800006</v>
      </c>
      <c r="BC44" s="256">
        <f t="shared" si="27"/>
        <v>3889.3729332744006</v>
      </c>
      <c r="BD44" s="256">
        <f t="shared" si="28"/>
        <v>4006.054121272633</v>
      </c>
      <c r="BE44" s="206">
        <f t="shared" si="29"/>
        <v>4365</v>
      </c>
      <c r="BF44" s="257">
        <f t="shared" si="49"/>
        <v>4365</v>
      </c>
      <c r="BG44" s="258">
        <f t="shared" si="30"/>
        <v>1091.25</v>
      </c>
      <c r="BH44" s="258">
        <f t="shared" si="30"/>
        <v>1091.25</v>
      </c>
      <c r="BI44" s="258">
        <f t="shared" si="30"/>
        <v>1091.25</v>
      </c>
      <c r="BJ44" s="258">
        <f t="shared" si="30"/>
        <v>1091.25</v>
      </c>
      <c r="BK44" s="260">
        <v>0.04</v>
      </c>
      <c r="BL44" s="256">
        <f>($BK$4*'Tab H'!K43)</f>
        <v>6084.3200000000015</v>
      </c>
      <c r="BM44" s="256">
        <f>($BK$4*'Tab H'!L43)</f>
        <v>4563.2400000000016</v>
      </c>
      <c r="BN44" s="256">
        <f>($BK$4*'Tab H'!M43)</f>
        <v>6266.8496000000014</v>
      </c>
      <c r="BO44" s="256">
        <f>($BK$4*'Tab H'!N43)</f>
        <v>6454.8550880000012</v>
      </c>
      <c r="BP44" s="256">
        <f>($BK$4*'Tab H'!O43)</f>
        <v>6648.5007406400009</v>
      </c>
      <c r="BQ44" s="256">
        <f>($BK$4*'Tab H'!P43)</f>
        <v>6847.9557628592011</v>
      </c>
      <c r="BR44" s="256">
        <f t="shared" si="31"/>
        <v>7106</v>
      </c>
      <c r="BS44" s="257">
        <f>ROUND($BK$4*'Tab H'!R43,0)</f>
        <v>7106</v>
      </c>
      <c r="BT44" s="258">
        <f t="shared" si="32"/>
        <v>1776.5</v>
      </c>
      <c r="BU44" s="258">
        <f t="shared" si="32"/>
        <v>1776.5</v>
      </c>
      <c r="BV44" s="258">
        <f t="shared" si="32"/>
        <v>1776.5</v>
      </c>
      <c r="BW44" s="258">
        <f t="shared" si="32"/>
        <v>1776.5</v>
      </c>
      <c r="BX44" s="255">
        <v>0.04</v>
      </c>
      <c r="CF44" s="260">
        <v>0.21</v>
      </c>
      <c r="CG44" s="256">
        <f>($CF$4*'Tab H'!K43)</f>
        <v>31942.680000000004</v>
      </c>
      <c r="CH44" s="256">
        <f>($CF$4*'Tab H'!L43)</f>
        <v>23957.010000000006</v>
      </c>
      <c r="CI44" s="256">
        <f>($CF$4*'Tab H'!M43)</f>
        <v>32900.960400000004</v>
      </c>
      <c r="CJ44" s="256">
        <f>($CF$4*'Tab H'!N43)</f>
        <v>33887.989212</v>
      </c>
      <c r="CK44" s="256">
        <f>($CF$4*'Tab H'!O43)</f>
        <v>34904.628888359999</v>
      </c>
      <c r="CL44" s="256">
        <f>($CF$4*'Tab H'!P43)</f>
        <v>35951.767755010806</v>
      </c>
      <c r="CM44" s="206">
        <f>ROUND($CF$4*'Tab H'!Q43,0)</f>
        <v>37308</v>
      </c>
      <c r="CN44" s="257">
        <f>ROUND($CF$4*'Tab H'!R43,0)</f>
        <v>37308</v>
      </c>
      <c r="CO44" s="258">
        <f t="shared" si="33"/>
        <v>9327</v>
      </c>
      <c r="CP44" s="258">
        <f t="shared" si="33"/>
        <v>9327</v>
      </c>
      <c r="CQ44" s="258">
        <f t="shared" si="33"/>
        <v>9327</v>
      </c>
      <c r="CR44" s="258">
        <f t="shared" si="33"/>
        <v>9327</v>
      </c>
      <c r="CS44" s="206">
        <v>6.5000000000000002E-2</v>
      </c>
      <c r="CT44" s="206">
        <v>6.5000000000000002E-2</v>
      </c>
      <c r="CU44" s="206">
        <v>6.5000000000000002E-2</v>
      </c>
      <c r="CV44" s="206">
        <v>6.5000000000000002E-2</v>
      </c>
      <c r="CW44" s="206">
        <v>6.5000000000000002E-2</v>
      </c>
      <c r="CX44" s="206">
        <v>6.5000000000000002E-2</v>
      </c>
      <c r="CY44" s="206">
        <v>6.5000000000000002E-2</v>
      </c>
      <c r="CZ44" s="259">
        <f t="shared" si="50"/>
        <v>6.5000000000000002E-2</v>
      </c>
      <c r="DA44" s="259">
        <f t="shared" si="51"/>
        <v>6.5000000000000002E-2</v>
      </c>
      <c r="DB44" s="259">
        <f t="shared" si="52"/>
        <v>6.5000000000000002E-2</v>
      </c>
      <c r="DC44" s="259">
        <f t="shared" si="53"/>
        <v>6.5000000000000002E-2</v>
      </c>
      <c r="DD44" s="259">
        <f t="shared" si="54"/>
        <v>6.5000000000000002E-2</v>
      </c>
      <c r="DE44" s="259">
        <f t="shared" si="55"/>
        <v>6.5000000000000002E-2</v>
      </c>
      <c r="DF44" s="256">
        <f t="shared" si="34"/>
        <v>2076.2742000000003</v>
      </c>
      <c r="DG44" s="256">
        <f t="shared" si="35"/>
        <v>1557.2056500000003</v>
      </c>
      <c r="DH44" s="256">
        <f t="shared" si="36"/>
        <v>2138.5624260000004</v>
      </c>
      <c r="DI44" s="256">
        <f t="shared" si="37"/>
        <v>2202.7192987799999</v>
      </c>
      <c r="DJ44" s="256">
        <f t="shared" si="38"/>
        <v>2268.8008777434002</v>
      </c>
      <c r="DK44" s="256">
        <f t="shared" si="39"/>
        <v>2336.8649040757023</v>
      </c>
      <c r="DL44" s="206">
        <f t="shared" si="40"/>
        <v>2425</v>
      </c>
      <c r="DM44" s="257">
        <f t="shared" si="56"/>
        <v>2425</v>
      </c>
      <c r="DN44" s="258">
        <f t="shared" si="41"/>
        <v>606.25</v>
      </c>
      <c r="DO44" s="258">
        <f t="shared" si="41"/>
        <v>606.25</v>
      </c>
      <c r="DP44" s="258">
        <f t="shared" si="41"/>
        <v>606.25</v>
      </c>
      <c r="DQ44" s="258">
        <f t="shared" si="41"/>
        <v>606.25</v>
      </c>
    </row>
    <row r="45" spans="1:121" x14ac:dyDescent="0.3">
      <c r="A45" s="750"/>
      <c r="B45" s="205" t="s">
        <v>174</v>
      </c>
      <c r="C45" s="206">
        <v>13</v>
      </c>
      <c r="D45" s="255">
        <v>3.49E-2</v>
      </c>
      <c r="E45" s="256">
        <f>($D$4*'Tab H'!K44)</f>
        <v>4119.5610999999999</v>
      </c>
      <c r="F45" s="256">
        <f>($D$4*'Tab H'!L44)</f>
        <v>3089.6708250000001</v>
      </c>
      <c r="G45" s="256">
        <f>($D$4*'Tab H'!M44)</f>
        <v>4243.1479330000002</v>
      </c>
      <c r="H45" s="256">
        <f>($D$4*'Tab H'!N44)</f>
        <v>4370.4423709900002</v>
      </c>
      <c r="I45" s="256">
        <f>($D$4*'Tab H'!O44)</f>
        <v>4501.5556421197007</v>
      </c>
      <c r="J45" s="256">
        <f>($D$4*'Tab H'!P44)</f>
        <v>4636.6023113832916</v>
      </c>
      <c r="K45" s="206">
        <f>ROUND($D$4*'Tab H'!Q44,0)</f>
        <v>4811</v>
      </c>
      <c r="L45" s="257">
        <f>ROUND($D$4*'Tab H'!R44,0)</f>
        <v>4811</v>
      </c>
      <c r="M45" s="258">
        <f t="shared" si="57"/>
        <v>1202.75</v>
      </c>
      <c r="N45" s="258">
        <f t="shared" si="57"/>
        <v>1202.75</v>
      </c>
      <c r="O45" s="258">
        <f t="shared" si="57"/>
        <v>1202.75</v>
      </c>
      <c r="P45" s="258">
        <f t="shared" si="57"/>
        <v>1202.75</v>
      </c>
      <c r="Q45" s="255">
        <v>3.49E-2</v>
      </c>
      <c r="Y45" s="259">
        <v>0.189</v>
      </c>
      <c r="Z45" s="256">
        <f>(0.18*'Tab H'!K44)</f>
        <v>21247.02</v>
      </c>
      <c r="AA45" s="256">
        <f>(0.18*'Tab H'!L44)</f>
        <v>15935.264999999999</v>
      </c>
      <c r="AB45" s="256">
        <f>(0.18*'Tab H'!M44)</f>
        <v>21884.4306</v>
      </c>
      <c r="AC45" s="256">
        <f>(0.18*'Tab H'!N44)</f>
        <v>22540.963518</v>
      </c>
      <c r="AD45" s="256">
        <f>(0.18*'Tab H'!O44)</f>
        <v>23217.19242354</v>
      </c>
      <c r="AE45" s="256">
        <f>(0.18*'Tab H'!P44)</f>
        <v>23913.708196246203</v>
      </c>
      <c r="AF45" s="206">
        <f>ROUND($Y$4*'Tab H'!Q44,0)</f>
        <v>26056</v>
      </c>
      <c r="AG45" s="257">
        <f>ROUND($Y$4*'Tab H'!R44,0)</f>
        <v>26056</v>
      </c>
      <c r="AH45" s="258">
        <f t="shared" si="22"/>
        <v>6514</v>
      </c>
      <c r="AI45" s="258">
        <f t="shared" si="22"/>
        <v>6514</v>
      </c>
      <c r="AJ45" s="258">
        <f t="shared" si="22"/>
        <v>6514</v>
      </c>
      <c r="AK45" s="258">
        <f t="shared" si="22"/>
        <v>6514</v>
      </c>
      <c r="AL45" s="206">
        <v>0.13</v>
      </c>
      <c r="AM45" s="206">
        <v>0.13</v>
      </c>
      <c r="AN45" s="206">
        <v>0.13</v>
      </c>
      <c r="AO45" s="206">
        <v>0.13</v>
      </c>
      <c r="AP45" s="206">
        <v>0.13</v>
      </c>
      <c r="AQ45" s="206">
        <v>0.13</v>
      </c>
      <c r="AR45" s="206">
        <v>0.13</v>
      </c>
      <c r="AS45" s="260">
        <f t="shared" si="43"/>
        <v>0.13</v>
      </c>
      <c r="AT45" s="260">
        <f t="shared" si="44"/>
        <v>0.13</v>
      </c>
      <c r="AU45" s="260">
        <f t="shared" si="45"/>
        <v>0.13</v>
      </c>
      <c r="AV45" s="260">
        <f t="shared" si="46"/>
        <v>0.13</v>
      </c>
      <c r="AW45" s="260">
        <f t="shared" si="47"/>
        <v>0.13</v>
      </c>
      <c r="AX45" s="260">
        <f t="shared" si="48"/>
        <v>0.13</v>
      </c>
      <c r="AY45" s="256">
        <f t="shared" si="23"/>
        <v>2762.1125999999999</v>
      </c>
      <c r="AZ45" s="256">
        <f t="shared" si="24"/>
        <v>2071.5844499999998</v>
      </c>
      <c r="BA45" s="256">
        <f t="shared" si="25"/>
        <v>2844.9759779999999</v>
      </c>
      <c r="BB45" s="256">
        <f t="shared" si="26"/>
        <v>2930.32525734</v>
      </c>
      <c r="BC45" s="256">
        <f t="shared" si="27"/>
        <v>3018.2350150602001</v>
      </c>
      <c r="BD45" s="256">
        <f t="shared" si="28"/>
        <v>3108.7820655120067</v>
      </c>
      <c r="BE45" s="206">
        <f t="shared" si="29"/>
        <v>3387</v>
      </c>
      <c r="BF45" s="257">
        <f t="shared" si="49"/>
        <v>3387</v>
      </c>
      <c r="BG45" s="258">
        <f t="shared" si="30"/>
        <v>846.75</v>
      </c>
      <c r="BH45" s="258">
        <f t="shared" si="30"/>
        <v>846.75</v>
      </c>
      <c r="BI45" s="258">
        <f t="shared" si="30"/>
        <v>846.75</v>
      </c>
      <c r="BJ45" s="258">
        <f t="shared" si="30"/>
        <v>846.75</v>
      </c>
      <c r="BK45" s="260">
        <v>0.04</v>
      </c>
      <c r="BL45" s="256">
        <f>($BK$4*'Tab H'!K44)</f>
        <v>4721.5600000000004</v>
      </c>
      <c r="BM45" s="256">
        <f>($BK$4*'Tab H'!L44)</f>
        <v>3541.17</v>
      </c>
      <c r="BN45" s="256">
        <f>($BK$4*'Tab H'!M44)</f>
        <v>4863.2067999999999</v>
      </c>
      <c r="BO45" s="256">
        <f>($BK$4*'Tab H'!N44)</f>
        <v>5009.1030040000005</v>
      </c>
      <c r="BP45" s="256">
        <f>($BK$4*'Tab H'!O44)</f>
        <v>5159.3760941200007</v>
      </c>
      <c r="BQ45" s="256">
        <f>($BK$4*'Tab H'!P44)</f>
        <v>5314.1573769436009</v>
      </c>
      <c r="BR45" s="256">
        <f t="shared" si="31"/>
        <v>5514</v>
      </c>
      <c r="BS45" s="257">
        <f>ROUND($BK$4*'Tab H'!R44,0)</f>
        <v>5514</v>
      </c>
      <c r="BT45" s="258">
        <f t="shared" si="32"/>
        <v>1378.5</v>
      </c>
      <c r="BU45" s="258">
        <f t="shared" si="32"/>
        <v>1378.5</v>
      </c>
      <c r="BV45" s="258">
        <f t="shared" si="32"/>
        <v>1378.5</v>
      </c>
      <c r="BW45" s="258">
        <f t="shared" si="32"/>
        <v>1378.5</v>
      </c>
      <c r="BX45" s="255">
        <v>0.04</v>
      </c>
      <c r="CF45" s="260">
        <v>0.21</v>
      </c>
      <c r="CG45" s="256">
        <f>($CF$4*'Tab H'!K44)</f>
        <v>24788.19</v>
      </c>
      <c r="CH45" s="256">
        <f>($CF$4*'Tab H'!L44)</f>
        <v>18591.142499999998</v>
      </c>
      <c r="CI45" s="256">
        <f>($CF$4*'Tab H'!M44)</f>
        <v>25531.8357</v>
      </c>
      <c r="CJ45" s="256">
        <f>($CF$4*'Tab H'!N44)</f>
        <v>26297.790771</v>
      </c>
      <c r="CK45" s="256">
        <f>($CF$4*'Tab H'!O44)</f>
        <v>27086.724494130001</v>
      </c>
      <c r="CL45" s="256">
        <f>($CF$4*'Tab H'!P44)</f>
        <v>27899.326228953902</v>
      </c>
      <c r="CM45" s="206">
        <f>ROUND($CF$4*'Tab H'!Q44,0)</f>
        <v>28951</v>
      </c>
      <c r="CN45" s="257">
        <f>ROUND($CF$4*'Tab H'!R44,0)</f>
        <v>28951</v>
      </c>
      <c r="CO45" s="258">
        <f t="shared" si="33"/>
        <v>7237.75</v>
      </c>
      <c r="CP45" s="258">
        <f t="shared" si="33"/>
        <v>7237.75</v>
      </c>
      <c r="CQ45" s="258">
        <f t="shared" si="33"/>
        <v>7237.75</v>
      </c>
      <c r="CR45" s="258">
        <f t="shared" si="33"/>
        <v>7237.75</v>
      </c>
      <c r="CS45" s="206">
        <v>6.5000000000000002E-2</v>
      </c>
      <c r="CT45" s="206">
        <v>6.5000000000000002E-2</v>
      </c>
      <c r="CU45" s="206">
        <v>6.5000000000000002E-2</v>
      </c>
      <c r="CV45" s="206">
        <v>6.5000000000000002E-2</v>
      </c>
      <c r="CW45" s="206">
        <v>6.5000000000000002E-2</v>
      </c>
      <c r="CX45" s="206">
        <v>6.5000000000000002E-2</v>
      </c>
      <c r="CY45" s="206">
        <v>6.5000000000000002E-2</v>
      </c>
      <c r="CZ45" s="259">
        <f t="shared" si="50"/>
        <v>6.5000000000000002E-2</v>
      </c>
      <c r="DA45" s="259">
        <f t="shared" si="51"/>
        <v>6.5000000000000002E-2</v>
      </c>
      <c r="DB45" s="259">
        <f t="shared" si="52"/>
        <v>6.5000000000000002E-2</v>
      </c>
      <c r="DC45" s="259">
        <f t="shared" si="53"/>
        <v>6.5000000000000002E-2</v>
      </c>
      <c r="DD45" s="259">
        <f t="shared" si="54"/>
        <v>6.5000000000000002E-2</v>
      </c>
      <c r="DE45" s="259">
        <f t="shared" si="55"/>
        <v>6.5000000000000002E-2</v>
      </c>
      <c r="DF45" s="256">
        <f t="shared" si="34"/>
        <v>1611.23235</v>
      </c>
      <c r="DG45" s="256">
        <f t="shared" si="35"/>
        <v>1208.4242624999999</v>
      </c>
      <c r="DH45" s="256">
        <f t="shared" si="36"/>
        <v>1659.5693205</v>
      </c>
      <c r="DI45" s="256">
        <f t="shared" si="37"/>
        <v>1709.356400115</v>
      </c>
      <c r="DJ45" s="256">
        <f t="shared" si="38"/>
        <v>1760.6370921184503</v>
      </c>
      <c r="DK45" s="256">
        <f t="shared" si="39"/>
        <v>1813.4562048820037</v>
      </c>
      <c r="DL45" s="206">
        <f t="shared" si="40"/>
        <v>1882</v>
      </c>
      <c r="DM45" s="257">
        <f t="shared" si="56"/>
        <v>1882</v>
      </c>
      <c r="DN45" s="258">
        <f t="shared" si="41"/>
        <v>470.5</v>
      </c>
      <c r="DO45" s="258">
        <f t="shared" si="41"/>
        <v>470.5</v>
      </c>
      <c r="DP45" s="258">
        <f t="shared" si="41"/>
        <v>470.5</v>
      </c>
      <c r="DQ45" s="258">
        <f t="shared" si="41"/>
        <v>470.5</v>
      </c>
    </row>
    <row r="46" spans="1:121" x14ac:dyDescent="0.3">
      <c r="A46" s="750"/>
      <c r="B46" s="205" t="s">
        <v>175</v>
      </c>
      <c r="C46" s="206">
        <v>13</v>
      </c>
      <c r="D46" s="255">
        <v>3.49E-2</v>
      </c>
      <c r="E46" s="256">
        <f>($D$4*'Tab H'!K45)</f>
        <v>4665.3971000000001</v>
      </c>
      <c r="F46" s="256">
        <f>($D$4*'Tab H'!L45)</f>
        <v>3499.0478250000001</v>
      </c>
      <c r="G46" s="256">
        <f>($D$4*'Tab H'!M45)</f>
        <v>4805.3590130000002</v>
      </c>
      <c r="H46" s="256">
        <f>($D$4*'Tab H'!N45)</f>
        <v>4949.5197833900002</v>
      </c>
      <c r="I46" s="256">
        <f>($D$4*'Tab H'!O45)</f>
        <v>5098.0053768917005</v>
      </c>
      <c r="J46" s="256">
        <f>($D$4*'Tab H'!P45)</f>
        <v>5250.9455381984517</v>
      </c>
      <c r="K46" s="206">
        <f>ROUND($D$4*'Tab H'!Q45,0)</f>
        <v>5841</v>
      </c>
      <c r="L46" s="257">
        <f>ROUND($D$4*'Tab H'!R45,0)</f>
        <v>5841</v>
      </c>
      <c r="M46" s="258">
        <f t="shared" si="57"/>
        <v>1460.25</v>
      </c>
      <c r="N46" s="258">
        <f t="shared" si="57"/>
        <v>1460.25</v>
      </c>
      <c r="O46" s="258">
        <f t="shared" si="57"/>
        <v>1460.25</v>
      </c>
      <c r="P46" s="258">
        <f t="shared" si="57"/>
        <v>1460.25</v>
      </c>
      <c r="Q46" s="255">
        <v>3.49E-2</v>
      </c>
      <c r="Y46" s="259">
        <v>0.189</v>
      </c>
      <c r="Z46" s="256">
        <f>(0.18*'Tab H'!K45)</f>
        <v>24062.219999999998</v>
      </c>
      <c r="AA46" s="256">
        <f>(0.18*'Tab H'!L45)</f>
        <v>18046.665000000001</v>
      </c>
      <c r="AB46" s="256">
        <f>(0.18*'Tab H'!M45)</f>
        <v>24784.086599999999</v>
      </c>
      <c r="AC46" s="256">
        <f>(0.18*'Tab H'!N45)</f>
        <v>25527.609198000002</v>
      </c>
      <c r="AD46" s="256">
        <f>(0.18*'Tab H'!O45)</f>
        <v>26293.437473940001</v>
      </c>
      <c r="AE46" s="256">
        <f>(0.18*'Tab H'!P45)</f>
        <v>27082.240598158201</v>
      </c>
      <c r="AF46" s="206">
        <f>ROUND($Y$4*'Tab H'!Q45,0)</f>
        <v>31631</v>
      </c>
      <c r="AG46" s="257">
        <f>ROUND($Y$4*'Tab H'!R45,0)</f>
        <v>31631</v>
      </c>
      <c r="AH46" s="258">
        <f t="shared" si="22"/>
        <v>7907.75</v>
      </c>
      <c r="AI46" s="258">
        <f t="shared" si="22"/>
        <v>7907.75</v>
      </c>
      <c r="AJ46" s="258">
        <f t="shared" si="22"/>
        <v>7907.75</v>
      </c>
      <c r="AK46" s="258">
        <f t="shared" si="22"/>
        <v>7907.75</v>
      </c>
      <c r="AL46" s="206">
        <v>0.13</v>
      </c>
      <c r="AM46" s="206">
        <v>0.13</v>
      </c>
      <c r="AN46" s="206">
        <v>0.13</v>
      </c>
      <c r="AO46" s="206">
        <v>0.13</v>
      </c>
      <c r="AP46" s="206">
        <v>0.13</v>
      </c>
      <c r="AQ46" s="206">
        <v>0.13</v>
      </c>
      <c r="AR46" s="206">
        <v>0.13</v>
      </c>
      <c r="AS46" s="260">
        <f t="shared" si="43"/>
        <v>0.13</v>
      </c>
      <c r="AT46" s="260">
        <f t="shared" si="44"/>
        <v>0.13</v>
      </c>
      <c r="AU46" s="260">
        <f t="shared" si="45"/>
        <v>0.13</v>
      </c>
      <c r="AV46" s="260">
        <f t="shared" si="46"/>
        <v>0.13</v>
      </c>
      <c r="AW46" s="260">
        <f t="shared" si="47"/>
        <v>0.13</v>
      </c>
      <c r="AX46" s="260">
        <f t="shared" si="48"/>
        <v>0.13</v>
      </c>
      <c r="AY46" s="256">
        <f t="shared" si="23"/>
        <v>3128.0885999999996</v>
      </c>
      <c r="AZ46" s="256">
        <f t="shared" si="24"/>
        <v>2346.0664500000003</v>
      </c>
      <c r="BA46" s="256">
        <f t="shared" si="25"/>
        <v>3221.9312580000001</v>
      </c>
      <c r="BB46" s="256">
        <f t="shared" si="26"/>
        <v>3318.5891957400004</v>
      </c>
      <c r="BC46" s="256">
        <f t="shared" si="27"/>
        <v>3418.1468716122004</v>
      </c>
      <c r="BD46" s="256">
        <f t="shared" si="28"/>
        <v>3520.6912777605662</v>
      </c>
      <c r="BE46" s="206">
        <f t="shared" si="29"/>
        <v>4112</v>
      </c>
      <c r="BF46" s="257">
        <f t="shared" si="49"/>
        <v>4112</v>
      </c>
      <c r="BG46" s="258">
        <f t="shared" si="30"/>
        <v>1028</v>
      </c>
      <c r="BH46" s="258">
        <f t="shared" si="30"/>
        <v>1028</v>
      </c>
      <c r="BI46" s="258">
        <f t="shared" si="30"/>
        <v>1028</v>
      </c>
      <c r="BJ46" s="258">
        <f t="shared" si="30"/>
        <v>1028</v>
      </c>
      <c r="BK46" s="260">
        <v>0.04</v>
      </c>
      <c r="BL46" s="256">
        <f>($BK$4*'Tab H'!K45)</f>
        <v>5347.16</v>
      </c>
      <c r="BM46" s="256">
        <f>($BK$4*'Tab H'!L45)</f>
        <v>4010.37</v>
      </c>
      <c r="BN46" s="256">
        <f>($BK$4*'Tab H'!M45)</f>
        <v>5507.5748000000003</v>
      </c>
      <c r="BO46" s="256">
        <f>($BK$4*'Tab H'!N45)</f>
        <v>5672.8020440000009</v>
      </c>
      <c r="BP46" s="256">
        <f>($BK$4*'Tab H'!O45)</f>
        <v>5842.9861053200011</v>
      </c>
      <c r="BQ46" s="256">
        <f>($BK$4*'Tab H'!P45)</f>
        <v>6018.2756884796008</v>
      </c>
      <c r="BR46" s="256">
        <f t="shared" si="31"/>
        <v>6694</v>
      </c>
      <c r="BS46" s="257">
        <f>ROUND($BK$4*'Tab H'!R45,0)</f>
        <v>6694</v>
      </c>
      <c r="BT46" s="258">
        <f t="shared" si="32"/>
        <v>1673.5</v>
      </c>
      <c r="BU46" s="258">
        <f t="shared" si="32"/>
        <v>1673.5</v>
      </c>
      <c r="BV46" s="258">
        <f t="shared" si="32"/>
        <v>1673.5</v>
      </c>
      <c r="BW46" s="258">
        <f t="shared" si="32"/>
        <v>1673.5</v>
      </c>
      <c r="BX46" s="255">
        <v>0.04</v>
      </c>
      <c r="CF46" s="260">
        <v>0.21</v>
      </c>
      <c r="CG46" s="256">
        <f>($CF$4*'Tab H'!K45)</f>
        <v>28072.59</v>
      </c>
      <c r="CH46" s="256">
        <f>($CF$4*'Tab H'!L45)</f>
        <v>21054.442500000001</v>
      </c>
      <c r="CI46" s="256">
        <f>($CF$4*'Tab H'!M45)</f>
        <v>28914.767699999997</v>
      </c>
      <c r="CJ46" s="256">
        <f>($CF$4*'Tab H'!N45)</f>
        <v>29782.210731000003</v>
      </c>
      <c r="CK46" s="256">
        <f>($CF$4*'Tab H'!O45)</f>
        <v>30675.677052930005</v>
      </c>
      <c r="CL46" s="256">
        <f>($CF$4*'Tab H'!P45)</f>
        <v>31595.947364517902</v>
      </c>
      <c r="CM46" s="206">
        <f>ROUND($CF$4*'Tab H'!Q45,0)</f>
        <v>35146</v>
      </c>
      <c r="CN46" s="257">
        <f>ROUND($CF$4*'Tab H'!R45,0)</f>
        <v>35146</v>
      </c>
      <c r="CO46" s="258">
        <f t="shared" si="33"/>
        <v>8786.5</v>
      </c>
      <c r="CP46" s="258">
        <f t="shared" si="33"/>
        <v>8786.5</v>
      </c>
      <c r="CQ46" s="258">
        <f t="shared" si="33"/>
        <v>8786.5</v>
      </c>
      <c r="CR46" s="258">
        <f t="shared" si="33"/>
        <v>8786.5</v>
      </c>
      <c r="CS46" s="206">
        <v>6.5000000000000002E-2</v>
      </c>
      <c r="CT46" s="206">
        <v>6.5000000000000002E-2</v>
      </c>
      <c r="CU46" s="206">
        <v>6.5000000000000002E-2</v>
      </c>
      <c r="CV46" s="206">
        <v>6.5000000000000002E-2</v>
      </c>
      <c r="CW46" s="206">
        <v>6.5000000000000002E-2</v>
      </c>
      <c r="CX46" s="206">
        <v>6.5000000000000002E-2</v>
      </c>
      <c r="CY46" s="206">
        <v>6.5000000000000002E-2</v>
      </c>
      <c r="CZ46" s="259">
        <f t="shared" si="50"/>
        <v>6.5000000000000002E-2</v>
      </c>
      <c r="DA46" s="259">
        <f t="shared" si="51"/>
        <v>6.5000000000000002E-2</v>
      </c>
      <c r="DB46" s="259">
        <f t="shared" si="52"/>
        <v>6.5000000000000002E-2</v>
      </c>
      <c r="DC46" s="259">
        <f t="shared" si="53"/>
        <v>6.5000000000000002E-2</v>
      </c>
      <c r="DD46" s="259">
        <f t="shared" si="54"/>
        <v>6.5000000000000002E-2</v>
      </c>
      <c r="DE46" s="259">
        <f t="shared" si="55"/>
        <v>6.5000000000000002E-2</v>
      </c>
      <c r="DF46" s="256">
        <f t="shared" si="34"/>
        <v>1824.7183500000001</v>
      </c>
      <c r="DG46" s="256">
        <f t="shared" si="35"/>
        <v>1368.5387625000001</v>
      </c>
      <c r="DH46" s="256">
        <f t="shared" si="36"/>
        <v>1879.4599004999998</v>
      </c>
      <c r="DI46" s="256">
        <f t="shared" si="37"/>
        <v>1935.8436975150003</v>
      </c>
      <c r="DJ46" s="256">
        <f t="shared" si="38"/>
        <v>1993.9190084404504</v>
      </c>
      <c r="DK46" s="256">
        <f t="shared" si="39"/>
        <v>2053.7365786936639</v>
      </c>
      <c r="DL46" s="206">
        <f t="shared" si="40"/>
        <v>2284</v>
      </c>
      <c r="DM46" s="257">
        <f t="shared" si="56"/>
        <v>2284</v>
      </c>
      <c r="DN46" s="258">
        <f t="shared" si="41"/>
        <v>571</v>
      </c>
      <c r="DO46" s="258">
        <f t="shared" si="41"/>
        <v>571</v>
      </c>
      <c r="DP46" s="258">
        <f t="shared" si="41"/>
        <v>571</v>
      </c>
      <c r="DQ46" s="258">
        <f t="shared" si="41"/>
        <v>571</v>
      </c>
    </row>
    <row r="47" spans="1:121" x14ac:dyDescent="0.3">
      <c r="A47" s="750"/>
      <c r="B47" s="205" t="s">
        <v>176</v>
      </c>
      <c r="C47" s="206">
        <v>24</v>
      </c>
      <c r="D47" s="255">
        <v>3.49E-2</v>
      </c>
      <c r="E47" s="256">
        <f>($D$4*'Tab H'!K46)</f>
        <v>8075.2667000000001</v>
      </c>
      <c r="F47" s="256">
        <f>($D$4*'Tab H'!L46)</f>
        <v>6056.4500250000001</v>
      </c>
      <c r="G47" s="256">
        <f>($D$4*'Tab H'!M46)</f>
        <v>8317.5247010000003</v>
      </c>
      <c r="H47" s="256">
        <f>($D$4*'Tab H'!N46)</f>
        <v>8567.0504420300003</v>
      </c>
      <c r="I47" s="256">
        <f>($D$4*'Tab H'!O46)</f>
        <v>8824.0619552909011</v>
      </c>
      <c r="J47" s="256">
        <f>($D$4*'Tab H'!P46)</f>
        <v>9088.7838139496289</v>
      </c>
      <c r="K47" s="206">
        <f>ROUND($D$4*'Tab H'!Q46,0)</f>
        <v>9432</v>
      </c>
      <c r="L47" s="257">
        <f>ROUND($D$4*'Tab H'!R46,0)</f>
        <v>9432</v>
      </c>
      <c r="M47" s="258">
        <f t="shared" si="57"/>
        <v>2358</v>
      </c>
      <c r="N47" s="258">
        <f t="shared" si="57"/>
        <v>2358</v>
      </c>
      <c r="O47" s="258">
        <f t="shared" si="57"/>
        <v>2358</v>
      </c>
      <c r="P47" s="258">
        <f t="shared" si="57"/>
        <v>2358</v>
      </c>
      <c r="Q47" s="255">
        <v>3.49E-2</v>
      </c>
      <c r="Y47" s="259">
        <v>0.189</v>
      </c>
      <c r="Z47" s="256">
        <f>(0.18*'Tab H'!K46)</f>
        <v>41648.939999999995</v>
      </c>
      <c r="AA47" s="256">
        <f>(0.18*'Tab H'!L46)</f>
        <v>31236.704999999998</v>
      </c>
      <c r="AB47" s="256">
        <f>(0.18*'Tab H'!M46)</f>
        <v>42898.408200000005</v>
      </c>
      <c r="AC47" s="256">
        <f>(0.18*'Tab H'!N46)</f>
        <v>44185.360445999999</v>
      </c>
      <c r="AD47" s="256">
        <f>(0.18*'Tab H'!O46)</f>
        <v>45510.921259380004</v>
      </c>
      <c r="AE47" s="256">
        <f>(0.18*'Tab H'!P46)</f>
        <v>46876.248897161408</v>
      </c>
      <c r="AF47" s="206">
        <f>ROUND($Y$4*'Tab H'!Q46,0)</f>
        <v>51076</v>
      </c>
      <c r="AG47" s="257">
        <f>ROUND($Y$4*'Tab H'!R46,0)</f>
        <v>51076</v>
      </c>
      <c r="AH47" s="258">
        <f t="shared" si="22"/>
        <v>12769</v>
      </c>
      <c r="AI47" s="258">
        <f t="shared" si="22"/>
        <v>12769</v>
      </c>
      <c r="AJ47" s="258">
        <f t="shared" si="22"/>
        <v>12769</v>
      </c>
      <c r="AK47" s="258">
        <f t="shared" si="22"/>
        <v>12769</v>
      </c>
      <c r="AL47" s="206">
        <v>0.13</v>
      </c>
      <c r="AM47" s="206">
        <v>0.13</v>
      </c>
      <c r="AN47" s="206">
        <v>0.13</v>
      </c>
      <c r="AO47" s="206">
        <v>0.13</v>
      </c>
      <c r="AP47" s="206">
        <v>0.13</v>
      </c>
      <c r="AQ47" s="206">
        <v>0.13</v>
      </c>
      <c r="AR47" s="206">
        <v>0.13</v>
      </c>
      <c r="AS47" s="260">
        <f t="shared" si="43"/>
        <v>0.13</v>
      </c>
      <c r="AT47" s="260">
        <f t="shared" si="44"/>
        <v>0.13</v>
      </c>
      <c r="AU47" s="260">
        <f t="shared" si="45"/>
        <v>0.13</v>
      </c>
      <c r="AV47" s="260">
        <f t="shared" si="46"/>
        <v>0.13</v>
      </c>
      <c r="AW47" s="260">
        <f t="shared" si="47"/>
        <v>0.13</v>
      </c>
      <c r="AX47" s="260">
        <f t="shared" si="48"/>
        <v>0.13</v>
      </c>
      <c r="AY47" s="256">
        <f t="shared" si="23"/>
        <v>5414.3621999999996</v>
      </c>
      <c r="AZ47" s="256">
        <f t="shared" si="24"/>
        <v>4060.7716499999997</v>
      </c>
      <c r="BA47" s="256">
        <f t="shared" si="25"/>
        <v>5576.7930660000011</v>
      </c>
      <c r="BB47" s="256">
        <f t="shared" si="26"/>
        <v>5744.0968579800001</v>
      </c>
      <c r="BC47" s="256">
        <f t="shared" si="27"/>
        <v>5916.4197637194011</v>
      </c>
      <c r="BD47" s="256">
        <f t="shared" si="28"/>
        <v>6093.9123566309836</v>
      </c>
      <c r="BE47" s="206">
        <f t="shared" si="29"/>
        <v>6640</v>
      </c>
      <c r="BF47" s="257">
        <f t="shared" si="49"/>
        <v>6640</v>
      </c>
      <c r="BG47" s="258">
        <f t="shared" si="30"/>
        <v>1660</v>
      </c>
      <c r="BH47" s="258">
        <f t="shared" si="30"/>
        <v>1660</v>
      </c>
      <c r="BI47" s="258">
        <f t="shared" si="30"/>
        <v>1660</v>
      </c>
      <c r="BJ47" s="258">
        <f t="shared" si="30"/>
        <v>1660</v>
      </c>
      <c r="BK47" s="260">
        <v>0.04</v>
      </c>
      <c r="BL47" s="256">
        <f>($BK$4*'Tab H'!K46)</f>
        <v>9255.32</v>
      </c>
      <c r="BM47" s="256">
        <f>($BK$4*'Tab H'!L46)</f>
        <v>6941.49</v>
      </c>
      <c r="BN47" s="256">
        <f>($BK$4*'Tab H'!M46)</f>
        <v>9532.9796000000006</v>
      </c>
      <c r="BO47" s="256">
        <f>($BK$4*'Tab H'!N46)</f>
        <v>9818.9689880000005</v>
      </c>
      <c r="BP47" s="256">
        <f>($BK$4*'Tab H'!O46)</f>
        <v>10113.538057640002</v>
      </c>
      <c r="BQ47" s="256">
        <f>($BK$4*'Tab H'!P46)</f>
        <v>10416.944199369202</v>
      </c>
      <c r="BR47" s="256">
        <f t="shared" si="31"/>
        <v>10810</v>
      </c>
      <c r="BS47" s="257">
        <f>ROUND($BK$4*'Tab H'!R46,0)</f>
        <v>10810</v>
      </c>
      <c r="BT47" s="258">
        <f t="shared" si="32"/>
        <v>2702.5</v>
      </c>
      <c r="BU47" s="258">
        <f t="shared" si="32"/>
        <v>2702.5</v>
      </c>
      <c r="BV47" s="258">
        <f t="shared" si="32"/>
        <v>2702.5</v>
      </c>
      <c r="BW47" s="258">
        <f t="shared" si="32"/>
        <v>2702.5</v>
      </c>
      <c r="BX47" s="255">
        <v>0.04</v>
      </c>
      <c r="CF47" s="260">
        <v>0.21</v>
      </c>
      <c r="CG47" s="256">
        <f>($CF$4*'Tab H'!K46)</f>
        <v>48590.43</v>
      </c>
      <c r="CH47" s="256">
        <f>($CF$4*'Tab H'!L46)</f>
        <v>36442.822500000002</v>
      </c>
      <c r="CI47" s="256">
        <f>($CF$4*'Tab H'!M46)</f>
        <v>50048.142899999999</v>
      </c>
      <c r="CJ47" s="256">
        <f>($CF$4*'Tab H'!N46)</f>
        <v>51549.587187000005</v>
      </c>
      <c r="CK47" s="256">
        <f>($CF$4*'Tab H'!O46)</f>
        <v>53096.074802610005</v>
      </c>
      <c r="CL47" s="256">
        <f>($CF$4*'Tab H'!P46)</f>
        <v>54688.957046688309</v>
      </c>
      <c r="CM47" s="206">
        <f>ROUND($CF$4*'Tab H'!Q46,0)</f>
        <v>56751</v>
      </c>
      <c r="CN47" s="257">
        <f>ROUND($CF$4*'Tab H'!R46,0)</f>
        <v>56751</v>
      </c>
      <c r="CO47" s="258">
        <f t="shared" si="33"/>
        <v>14187.75</v>
      </c>
      <c r="CP47" s="258">
        <f t="shared" si="33"/>
        <v>14187.75</v>
      </c>
      <c r="CQ47" s="258">
        <f t="shared" si="33"/>
        <v>14187.75</v>
      </c>
      <c r="CR47" s="258">
        <f t="shared" si="33"/>
        <v>14187.75</v>
      </c>
      <c r="CS47" s="206">
        <v>6.5000000000000002E-2</v>
      </c>
      <c r="CT47" s="206">
        <v>6.5000000000000002E-2</v>
      </c>
      <c r="CU47" s="206">
        <v>6.5000000000000002E-2</v>
      </c>
      <c r="CV47" s="206">
        <v>6.5000000000000002E-2</v>
      </c>
      <c r="CW47" s="206">
        <v>6.5000000000000002E-2</v>
      </c>
      <c r="CX47" s="206">
        <v>6.5000000000000002E-2</v>
      </c>
      <c r="CY47" s="206">
        <v>6.5000000000000002E-2</v>
      </c>
      <c r="CZ47" s="259">
        <f t="shared" si="50"/>
        <v>6.5000000000000002E-2</v>
      </c>
      <c r="DA47" s="259">
        <f t="shared" si="51"/>
        <v>6.5000000000000002E-2</v>
      </c>
      <c r="DB47" s="259">
        <f t="shared" si="52"/>
        <v>6.5000000000000002E-2</v>
      </c>
      <c r="DC47" s="259">
        <f t="shared" si="53"/>
        <v>6.5000000000000002E-2</v>
      </c>
      <c r="DD47" s="259">
        <f t="shared" si="54"/>
        <v>6.5000000000000002E-2</v>
      </c>
      <c r="DE47" s="259">
        <f t="shared" si="55"/>
        <v>6.5000000000000002E-2</v>
      </c>
      <c r="DF47" s="256">
        <f t="shared" si="34"/>
        <v>3158.3779500000001</v>
      </c>
      <c r="DG47" s="256">
        <f t="shared" si="35"/>
        <v>2368.7834625</v>
      </c>
      <c r="DH47" s="256">
        <f t="shared" si="36"/>
        <v>3253.1292885000003</v>
      </c>
      <c r="DI47" s="256">
        <f t="shared" si="37"/>
        <v>3350.7231671550003</v>
      </c>
      <c r="DJ47" s="256">
        <f t="shared" si="38"/>
        <v>3451.2448621696503</v>
      </c>
      <c r="DK47" s="256">
        <f t="shared" si="39"/>
        <v>3554.7822080347401</v>
      </c>
      <c r="DL47" s="206">
        <f t="shared" si="40"/>
        <v>3689</v>
      </c>
      <c r="DM47" s="257">
        <f t="shared" si="56"/>
        <v>3689</v>
      </c>
      <c r="DN47" s="258">
        <f t="shared" si="41"/>
        <v>922.25</v>
      </c>
      <c r="DO47" s="258">
        <f t="shared" si="41"/>
        <v>922.25</v>
      </c>
      <c r="DP47" s="258">
        <f t="shared" si="41"/>
        <v>922.25</v>
      </c>
      <c r="DQ47" s="258">
        <f t="shared" si="41"/>
        <v>922.25</v>
      </c>
    </row>
    <row r="48" spans="1:121" x14ac:dyDescent="0.3">
      <c r="A48" s="750"/>
      <c r="B48" s="205" t="s">
        <v>177</v>
      </c>
      <c r="C48" s="206">
        <v>15</v>
      </c>
      <c r="D48" s="255">
        <v>3.49E-2</v>
      </c>
      <c r="E48" s="256">
        <f>($D$4*'Tab H'!K47)</f>
        <v>4059.6727000000001</v>
      </c>
      <c r="F48" s="256">
        <f>($D$4*'Tab H'!L47)</f>
        <v>3044.7545249999998</v>
      </c>
      <c r="G48" s="256">
        <f>($D$4*'Tab H'!M47)</f>
        <v>4181.4628810000004</v>
      </c>
      <c r="H48" s="256">
        <f>($D$4*'Tab H'!N47)</f>
        <v>4306.9067674300004</v>
      </c>
      <c r="I48" s="256">
        <f>($D$4*'Tab H'!O47)</f>
        <v>4436.1139704529005</v>
      </c>
      <c r="J48" s="256">
        <f>($D$4*'Tab H'!P47)</f>
        <v>4569.1973895664878</v>
      </c>
      <c r="K48" s="206">
        <f>ROUND($D$4*'Tab H'!Q47,0)</f>
        <v>4741</v>
      </c>
      <c r="L48" s="257">
        <f>ROUND($D$4*'Tab H'!R47,0)</f>
        <v>4741</v>
      </c>
      <c r="M48" s="258">
        <f t="shared" si="57"/>
        <v>1185.25</v>
      </c>
      <c r="N48" s="258">
        <f t="shared" si="57"/>
        <v>1185.25</v>
      </c>
      <c r="O48" s="258">
        <f t="shared" si="57"/>
        <v>1185.25</v>
      </c>
      <c r="P48" s="258">
        <f t="shared" si="57"/>
        <v>1185.25</v>
      </c>
      <c r="Q48" s="255">
        <v>3.49E-2</v>
      </c>
      <c r="Y48" s="259">
        <v>0.189</v>
      </c>
      <c r="Z48" s="256">
        <f>(0.18*'Tab H'!K47)</f>
        <v>20938.14</v>
      </c>
      <c r="AA48" s="256">
        <f>(0.18*'Tab H'!L47)</f>
        <v>15703.605</v>
      </c>
      <c r="AB48" s="256">
        <f>(0.18*'Tab H'!M47)</f>
        <v>21566.284199999998</v>
      </c>
      <c r="AC48" s="256">
        <f>(0.18*'Tab H'!N47)</f>
        <v>22213.272726000003</v>
      </c>
      <c r="AD48" s="256">
        <f>(0.18*'Tab H'!O47)</f>
        <v>22879.670907780001</v>
      </c>
      <c r="AE48" s="256">
        <f>(0.18*'Tab H'!P47)</f>
        <v>23566.061035013401</v>
      </c>
      <c r="AF48" s="206">
        <f>ROUND($Y$4*'Tab H'!Q47,0)</f>
        <v>25677</v>
      </c>
      <c r="AG48" s="257">
        <f>ROUND($Y$4*'Tab H'!R47,0)</f>
        <v>25677</v>
      </c>
      <c r="AH48" s="258">
        <f t="shared" si="22"/>
        <v>6419.25</v>
      </c>
      <c r="AI48" s="258">
        <f t="shared" si="22"/>
        <v>6419.25</v>
      </c>
      <c r="AJ48" s="258">
        <f t="shared" si="22"/>
        <v>6419.25</v>
      </c>
      <c r="AK48" s="258">
        <f t="shared" si="22"/>
        <v>6419.25</v>
      </c>
      <c r="AL48" s="206">
        <v>0.13</v>
      </c>
      <c r="AM48" s="206">
        <v>0.13</v>
      </c>
      <c r="AN48" s="206">
        <v>0.13</v>
      </c>
      <c r="AO48" s="206">
        <v>0.13</v>
      </c>
      <c r="AP48" s="206">
        <v>0.13</v>
      </c>
      <c r="AQ48" s="206">
        <v>0.13</v>
      </c>
      <c r="AR48" s="206">
        <v>0.13</v>
      </c>
      <c r="AS48" s="260">
        <f t="shared" si="43"/>
        <v>0.13</v>
      </c>
      <c r="AT48" s="260">
        <f t="shared" si="44"/>
        <v>0.13</v>
      </c>
      <c r="AU48" s="260">
        <f t="shared" si="45"/>
        <v>0.13</v>
      </c>
      <c r="AV48" s="260">
        <f t="shared" si="46"/>
        <v>0.13</v>
      </c>
      <c r="AW48" s="260">
        <f t="shared" si="47"/>
        <v>0.13</v>
      </c>
      <c r="AX48" s="260">
        <f t="shared" si="48"/>
        <v>0.13</v>
      </c>
      <c r="AY48" s="256">
        <f t="shared" si="23"/>
        <v>2721.9582</v>
      </c>
      <c r="AZ48" s="256">
        <f t="shared" si="24"/>
        <v>2041.46865</v>
      </c>
      <c r="BA48" s="256">
        <f t="shared" si="25"/>
        <v>2803.6169459999996</v>
      </c>
      <c r="BB48" s="256">
        <f t="shared" si="26"/>
        <v>2887.7254543800004</v>
      </c>
      <c r="BC48" s="256">
        <f t="shared" si="27"/>
        <v>2974.3572180114002</v>
      </c>
      <c r="BD48" s="256">
        <f t="shared" si="28"/>
        <v>3063.5879345517424</v>
      </c>
      <c r="BE48" s="206">
        <f t="shared" si="29"/>
        <v>3338</v>
      </c>
      <c r="BF48" s="257">
        <f t="shared" si="49"/>
        <v>3338</v>
      </c>
      <c r="BG48" s="258">
        <f t="shared" si="30"/>
        <v>834.5</v>
      </c>
      <c r="BH48" s="258">
        <f t="shared" si="30"/>
        <v>834.5</v>
      </c>
      <c r="BI48" s="258">
        <f t="shared" si="30"/>
        <v>834.5</v>
      </c>
      <c r="BJ48" s="258">
        <f t="shared" si="30"/>
        <v>834.5</v>
      </c>
      <c r="BK48" s="260">
        <v>0.04</v>
      </c>
      <c r="BL48" s="256">
        <f>($BK$4*'Tab H'!K47)</f>
        <v>4652.92</v>
      </c>
      <c r="BM48" s="256">
        <f>($BK$4*'Tab H'!L47)</f>
        <v>3489.69</v>
      </c>
      <c r="BN48" s="256">
        <f>($BK$4*'Tab H'!M47)</f>
        <v>4792.5075999999999</v>
      </c>
      <c r="BO48" s="256">
        <f>($BK$4*'Tab H'!N47)</f>
        <v>4936.2828280000003</v>
      </c>
      <c r="BP48" s="256">
        <f>($BK$4*'Tab H'!O47)</f>
        <v>5084.3713128400004</v>
      </c>
      <c r="BQ48" s="256">
        <f>($BK$4*'Tab H'!P47)</f>
        <v>5236.9024522252012</v>
      </c>
      <c r="BR48" s="256">
        <f t="shared" si="31"/>
        <v>5434</v>
      </c>
      <c r="BS48" s="257">
        <f>ROUND($BK$4*'Tab H'!R47,0)</f>
        <v>5434</v>
      </c>
      <c r="BT48" s="258">
        <f t="shared" si="32"/>
        <v>1358.5</v>
      </c>
      <c r="BU48" s="258">
        <f t="shared" si="32"/>
        <v>1358.5</v>
      </c>
      <c r="BV48" s="258">
        <f t="shared" si="32"/>
        <v>1358.5</v>
      </c>
      <c r="BW48" s="258">
        <f t="shared" si="32"/>
        <v>1358.5</v>
      </c>
      <c r="BX48" s="255">
        <v>0.04</v>
      </c>
      <c r="CF48" s="260">
        <v>0.21</v>
      </c>
      <c r="CG48" s="256">
        <f>($CF$4*'Tab H'!K47)</f>
        <v>24427.829999999998</v>
      </c>
      <c r="CH48" s="256">
        <f>($CF$4*'Tab H'!L47)</f>
        <v>18320.872499999998</v>
      </c>
      <c r="CI48" s="256">
        <f>($CF$4*'Tab H'!M47)</f>
        <v>25160.6649</v>
      </c>
      <c r="CJ48" s="256">
        <f>($CF$4*'Tab H'!N47)</f>
        <v>25915.484847</v>
      </c>
      <c r="CK48" s="256">
        <f>($CF$4*'Tab H'!O47)</f>
        <v>26692.949392410002</v>
      </c>
      <c r="CL48" s="256">
        <f>($CF$4*'Tab H'!P47)</f>
        <v>27493.737874182305</v>
      </c>
      <c r="CM48" s="206">
        <f>ROUND($CF$4*'Tab H'!Q47,0)</f>
        <v>28530</v>
      </c>
      <c r="CN48" s="257">
        <f>ROUND($CF$4*'Tab H'!R47,0)</f>
        <v>28530</v>
      </c>
      <c r="CO48" s="258">
        <f t="shared" si="33"/>
        <v>7132.5</v>
      </c>
      <c r="CP48" s="258">
        <f t="shared" si="33"/>
        <v>7132.5</v>
      </c>
      <c r="CQ48" s="258">
        <f t="shared" si="33"/>
        <v>7132.5</v>
      </c>
      <c r="CR48" s="258">
        <f t="shared" si="33"/>
        <v>7132.5</v>
      </c>
      <c r="CS48" s="206">
        <v>6.5000000000000002E-2</v>
      </c>
      <c r="CT48" s="206">
        <v>6.5000000000000002E-2</v>
      </c>
      <c r="CU48" s="206">
        <v>6.5000000000000002E-2</v>
      </c>
      <c r="CV48" s="206">
        <v>6.5000000000000002E-2</v>
      </c>
      <c r="CW48" s="206">
        <v>6.5000000000000002E-2</v>
      </c>
      <c r="CX48" s="206">
        <v>6.5000000000000002E-2</v>
      </c>
      <c r="CY48" s="206">
        <v>6.5000000000000002E-2</v>
      </c>
      <c r="CZ48" s="259">
        <f t="shared" si="50"/>
        <v>6.5000000000000002E-2</v>
      </c>
      <c r="DA48" s="259">
        <f t="shared" si="51"/>
        <v>6.5000000000000002E-2</v>
      </c>
      <c r="DB48" s="259">
        <f t="shared" si="52"/>
        <v>6.5000000000000002E-2</v>
      </c>
      <c r="DC48" s="259">
        <f t="shared" si="53"/>
        <v>6.5000000000000002E-2</v>
      </c>
      <c r="DD48" s="259">
        <f t="shared" si="54"/>
        <v>6.5000000000000002E-2</v>
      </c>
      <c r="DE48" s="259">
        <f t="shared" si="55"/>
        <v>6.5000000000000002E-2</v>
      </c>
      <c r="DF48" s="256">
        <f t="shared" si="34"/>
        <v>1587.8089499999999</v>
      </c>
      <c r="DG48" s="256">
        <f t="shared" si="35"/>
        <v>1190.8567125</v>
      </c>
      <c r="DH48" s="256">
        <f t="shared" si="36"/>
        <v>1635.4432185000001</v>
      </c>
      <c r="DI48" s="256">
        <f t="shared" si="37"/>
        <v>1684.5065150550001</v>
      </c>
      <c r="DJ48" s="256">
        <f t="shared" si="38"/>
        <v>1735.0417105066501</v>
      </c>
      <c r="DK48" s="256">
        <f t="shared" si="39"/>
        <v>1787.0929618218499</v>
      </c>
      <c r="DL48" s="206">
        <f t="shared" si="40"/>
        <v>1854</v>
      </c>
      <c r="DM48" s="257">
        <f t="shared" si="56"/>
        <v>1854</v>
      </c>
      <c r="DN48" s="258">
        <f t="shared" si="41"/>
        <v>463.5</v>
      </c>
      <c r="DO48" s="258">
        <f t="shared" si="41"/>
        <v>463.5</v>
      </c>
      <c r="DP48" s="258">
        <f t="shared" si="41"/>
        <v>463.5</v>
      </c>
      <c r="DQ48" s="258">
        <f t="shared" si="41"/>
        <v>463.5</v>
      </c>
    </row>
    <row r="49" spans="1:121" x14ac:dyDescent="0.3">
      <c r="A49" s="750"/>
      <c r="B49" s="205" t="s">
        <v>178</v>
      </c>
      <c r="C49" s="206">
        <v>17</v>
      </c>
      <c r="D49" s="255">
        <v>3.49E-2</v>
      </c>
      <c r="E49" s="256">
        <f>($D$4*'Tab H'!K48)</f>
        <v>3615.7795999999998</v>
      </c>
      <c r="F49" s="256">
        <f>($D$4*'Tab H'!L48)</f>
        <v>2711.8346999999999</v>
      </c>
      <c r="G49" s="256">
        <f>($D$4*'Tab H'!M48)</f>
        <v>3724.2529880000002</v>
      </c>
      <c r="H49" s="256">
        <f>($D$4*'Tab H'!N48)</f>
        <v>3835.9805776400003</v>
      </c>
      <c r="I49" s="256">
        <f>($D$4*'Tab H'!O48)</f>
        <v>3951.0599949692005</v>
      </c>
      <c r="J49" s="256">
        <f>($D$4*'Tab H'!P48)</f>
        <v>4069.5917948182764</v>
      </c>
      <c r="K49" s="206">
        <f>ROUND($D$4*'Tab H'!Q48,0)</f>
        <v>4223</v>
      </c>
      <c r="L49" s="257">
        <f>ROUND($D$4*'Tab H'!R48,0)</f>
        <v>4223</v>
      </c>
      <c r="M49" s="258">
        <f t="shared" si="57"/>
        <v>1055.75</v>
      </c>
      <c r="N49" s="258">
        <f t="shared" si="57"/>
        <v>1055.75</v>
      </c>
      <c r="O49" s="258">
        <f t="shared" si="57"/>
        <v>1055.75</v>
      </c>
      <c r="P49" s="258">
        <f t="shared" si="57"/>
        <v>1055.75</v>
      </c>
      <c r="Q49" s="255">
        <v>3.49E-2</v>
      </c>
      <c r="Y49" s="259">
        <v>0.189</v>
      </c>
      <c r="Z49" s="256">
        <f>(0.18*'Tab H'!K48)</f>
        <v>18648.719999999998</v>
      </c>
      <c r="AA49" s="256">
        <f>(0.18*'Tab H'!L48)</f>
        <v>13986.539999999999</v>
      </c>
      <c r="AB49" s="256">
        <f>(0.18*'Tab H'!M48)</f>
        <v>19208.1816</v>
      </c>
      <c r="AC49" s="256">
        <f>(0.18*'Tab H'!N48)</f>
        <v>19784.427048000001</v>
      </c>
      <c r="AD49" s="256">
        <f>(0.18*'Tab H'!O48)</f>
        <v>20377.959859440001</v>
      </c>
      <c r="AE49" s="256">
        <f>(0.18*'Tab H'!P48)</f>
        <v>20989.2986552232</v>
      </c>
      <c r="AF49" s="206">
        <f>ROUND($Y$4*'Tab H'!Q48,0)</f>
        <v>22870</v>
      </c>
      <c r="AG49" s="257">
        <f>ROUND($Y$4*'Tab H'!R48,0)</f>
        <v>22870</v>
      </c>
      <c r="AH49" s="258">
        <f t="shared" si="22"/>
        <v>5717.5</v>
      </c>
      <c r="AI49" s="258">
        <f t="shared" si="22"/>
        <v>5717.5</v>
      </c>
      <c r="AJ49" s="258">
        <f t="shared" si="22"/>
        <v>5717.5</v>
      </c>
      <c r="AK49" s="258">
        <f t="shared" si="22"/>
        <v>5717.5</v>
      </c>
      <c r="AL49" s="206">
        <v>0.13</v>
      </c>
      <c r="AM49" s="206">
        <v>0.13</v>
      </c>
      <c r="AN49" s="206">
        <v>0.13</v>
      </c>
      <c r="AO49" s="206">
        <v>0.13</v>
      </c>
      <c r="AP49" s="206">
        <v>0.13</v>
      </c>
      <c r="AQ49" s="206">
        <v>0.13</v>
      </c>
      <c r="AR49" s="206">
        <v>0.13</v>
      </c>
      <c r="AS49" s="260">
        <f t="shared" si="43"/>
        <v>0.13</v>
      </c>
      <c r="AT49" s="260">
        <f t="shared" si="44"/>
        <v>0.13</v>
      </c>
      <c r="AU49" s="260">
        <f t="shared" si="45"/>
        <v>0.13</v>
      </c>
      <c r="AV49" s="260">
        <f t="shared" si="46"/>
        <v>0.13</v>
      </c>
      <c r="AW49" s="260">
        <f t="shared" si="47"/>
        <v>0.13</v>
      </c>
      <c r="AX49" s="260">
        <f t="shared" si="48"/>
        <v>0.13</v>
      </c>
      <c r="AY49" s="256">
        <f t="shared" si="23"/>
        <v>2424.3335999999999</v>
      </c>
      <c r="AZ49" s="256">
        <f t="shared" si="24"/>
        <v>1818.2501999999999</v>
      </c>
      <c r="BA49" s="256">
        <f t="shared" si="25"/>
        <v>2497.0636079999999</v>
      </c>
      <c r="BB49" s="256">
        <f t="shared" si="26"/>
        <v>2571.9755162400002</v>
      </c>
      <c r="BC49" s="256">
        <f t="shared" si="27"/>
        <v>2649.1347817272003</v>
      </c>
      <c r="BD49" s="256">
        <f t="shared" si="28"/>
        <v>2728.6088251790161</v>
      </c>
      <c r="BE49" s="206">
        <f t="shared" si="29"/>
        <v>2973</v>
      </c>
      <c r="BF49" s="257">
        <f t="shared" si="49"/>
        <v>2973</v>
      </c>
      <c r="BG49" s="258">
        <f t="shared" si="30"/>
        <v>743.25</v>
      </c>
      <c r="BH49" s="258">
        <f t="shared" si="30"/>
        <v>743.25</v>
      </c>
      <c r="BI49" s="258">
        <f t="shared" si="30"/>
        <v>743.25</v>
      </c>
      <c r="BJ49" s="258">
        <f t="shared" si="30"/>
        <v>743.25</v>
      </c>
      <c r="BK49" s="260">
        <v>0.04</v>
      </c>
      <c r="BL49" s="256">
        <f>($BK$4*'Tab H'!K48)</f>
        <v>4144.16</v>
      </c>
      <c r="BM49" s="256">
        <f>($BK$4*'Tab H'!L48)</f>
        <v>3108.12</v>
      </c>
      <c r="BN49" s="256">
        <f>($BK$4*'Tab H'!M48)</f>
        <v>4268.4848000000002</v>
      </c>
      <c r="BO49" s="256">
        <f>($BK$4*'Tab H'!N48)</f>
        <v>4396.5393440000007</v>
      </c>
      <c r="BP49" s="256">
        <f>($BK$4*'Tab H'!O48)</f>
        <v>4528.4355243200007</v>
      </c>
      <c r="BQ49" s="256">
        <f>($BK$4*'Tab H'!P48)</f>
        <v>4664.2885900496003</v>
      </c>
      <c r="BR49" s="256">
        <f t="shared" si="31"/>
        <v>4840</v>
      </c>
      <c r="BS49" s="257">
        <f>ROUND($BK$4*'Tab H'!R48,0)</f>
        <v>4840</v>
      </c>
      <c r="BT49" s="258">
        <f t="shared" si="32"/>
        <v>1210</v>
      </c>
      <c r="BU49" s="258">
        <f t="shared" si="32"/>
        <v>1210</v>
      </c>
      <c r="BV49" s="258">
        <f t="shared" si="32"/>
        <v>1210</v>
      </c>
      <c r="BW49" s="258">
        <f t="shared" si="32"/>
        <v>1210</v>
      </c>
      <c r="BX49" s="255">
        <v>0.04</v>
      </c>
      <c r="CF49" s="260">
        <v>0.21</v>
      </c>
      <c r="CG49" s="256">
        <f>($CF$4*'Tab H'!K48)</f>
        <v>21756.84</v>
      </c>
      <c r="CH49" s="256">
        <f>($CF$4*'Tab H'!L48)</f>
        <v>16317.63</v>
      </c>
      <c r="CI49" s="256">
        <f>($CF$4*'Tab H'!M48)</f>
        <v>22409.5452</v>
      </c>
      <c r="CJ49" s="256">
        <f>($CF$4*'Tab H'!N48)</f>
        <v>23081.831556000001</v>
      </c>
      <c r="CK49" s="256">
        <f>($CF$4*'Tab H'!O48)</f>
        <v>23774.286502680003</v>
      </c>
      <c r="CL49" s="256">
        <f>($CF$4*'Tab H'!P48)</f>
        <v>24487.515097760403</v>
      </c>
      <c r="CM49" s="206">
        <f>ROUND($CF$4*'Tab H'!Q48,0)</f>
        <v>25411</v>
      </c>
      <c r="CN49" s="257">
        <f>ROUND($CF$4*'Tab H'!R48,0)</f>
        <v>25411</v>
      </c>
      <c r="CO49" s="258">
        <f t="shared" si="33"/>
        <v>6352.75</v>
      </c>
      <c r="CP49" s="258">
        <f t="shared" si="33"/>
        <v>6352.75</v>
      </c>
      <c r="CQ49" s="258">
        <f t="shared" si="33"/>
        <v>6352.75</v>
      </c>
      <c r="CR49" s="258">
        <f t="shared" si="33"/>
        <v>6352.75</v>
      </c>
      <c r="CS49" s="206">
        <v>6.5000000000000002E-2</v>
      </c>
      <c r="CT49" s="206">
        <v>6.5000000000000002E-2</v>
      </c>
      <c r="CU49" s="206">
        <v>6.5000000000000002E-2</v>
      </c>
      <c r="CV49" s="206">
        <v>6.5000000000000002E-2</v>
      </c>
      <c r="CW49" s="206">
        <v>6.5000000000000002E-2</v>
      </c>
      <c r="CX49" s="206">
        <v>6.5000000000000002E-2</v>
      </c>
      <c r="CY49" s="206">
        <v>6.5000000000000002E-2</v>
      </c>
      <c r="CZ49" s="259">
        <f t="shared" si="50"/>
        <v>6.5000000000000002E-2</v>
      </c>
      <c r="DA49" s="259">
        <f t="shared" si="51"/>
        <v>6.5000000000000002E-2</v>
      </c>
      <c r="DB49" s="259">
        <f t="shared" si="52"/>
        <v>6.5000000000000002E-2</v>
      </c>
      <c r="DC49" s="259">
        <f t="shared" si="53"/>
        <v>6.5000000000000002E-2</v>
      </c>
      <c r="DD49" s="259">
        <f t="shared" si="54"/>
        <v>6.5000000000000002E-2</v>
      </c>
      <c r="DE49" s="259">
        <f t="shared" si="55"/>
        <v>6.5000000000000002E-2</v>
      </c>
      <c r="DF49" s="256">
        <f t="shared" si="34"/>
        <v>1414.1946</v>
      </c>
      <c r="DG49" s="256">
        <f t="shared" si="35"/>
        <v>1060.6459500000001</v>
      </c>
      <c r="DH49" s="256">
        <f t="shared" si="36"/>
        <v>1456.6204380000001</v>
      </c>
      <c r="DI49" s="256">
        <f t="shared" si="37"/>
        <v>1500.3190511400001</v>
      </c>
      <c r="DJ49" s="256">
        <f t="shared" si="38"/>
        <v>1545.3286226742002</v>
      </c>
      <c r="DK49" s="256">
        <f t="shared" si="39"/>
        <v>1591.6884813544261</v>
      </c>
      <c r="DL49" s="206">
        <f t="shared" si="40"/>
        <v>1652</v>
      </c>
      <c r="DM49" s="257">
        <f t="shared" si="56"/>
        <v>1652</v>
      </c>
      <c r="DN49" s="258">
        <f t="shared" si="41"/>
        <v>413</v>
      </c>
      <c r="DO49" s="258">
        <f t="shared" si="41"/>
        <v>413</v>
      </c>
      <c r="DP49" s="258">
        <f t="shared" si="41"/>
        <v>413</v>
      </c>
      <c r="DQ49" s="258">
        <f t="shared" si="41"/>
        <v>413</v>
      </c>
    </row>
    <row r="50" spans="1:121" x14ac:dyDescent="0.3">
      <c r="A50" s="750"/>
      <c r="B50" s="205" t="s">
        <v>179</v>
      </c>
      <c r="C50" s="206">
        <v>11</v>
      </c>
      <c r="D50" s="255">
        <v>3.49E-2</v>
      </c>
      <c r="E50" s="256">
        <f>($D$4*'Tab H'!K49)</f>
        <v>2532.4836</v>
      </c>
      <c r="F50" s="256">
        <f>($D$4*'Tab H'!L49)</f>
        <v>1899.3627000000001</v>
      </c>
      <c r="G50" s="256">
        <f>($D$4*'Tab H'!M49)</f>
        <v>2608.4581079999998</v>
      </c>
      <c r="H50" s="256">
        <f>($D$4*'Tab H'!N49)</f>
        <v>2686.7118512399998</v>
      </c>
      <c r="I50" s="256">
        <f>($D$4*'Tab H'!O49)</f>
        <v>2767.3132067772003</v>
      </c>
      <c r="J50" s="256">
        <f>($D$4*'Tab H'!P49)</f>
        <v>2850.3326029805162</v>
      </c>
      <c r="K50" s="206">
        <f>ROUND($D$4*'Tab H'!Q49,0)</f>
        <v>2958</v>
      </c>
      <c r="L50" s="257">
        <f>ROUND($D$4*'Tab H'!R49,0)</f>
        <v>2958</v>
      </c>
      <c r="M50" s="258">
        <f t="shared" si="57"/>
        <v>739.5</v>
      </c>
      <c r="N50" s="258">
        <f t="shared" si="57"/>
        <v>739.5</v>
      </c>
      <c r="O50" s="258">
        <f t="shared" si="57"/>
        <v>739.5</v>
      </c>
      <c r="P50" s="258">
        <f t="shared" si="57"/>
        <v>739.5</v>
      </c>
      <c r="Q50" s="255">
        <v>3.49E-2</v>
      </c>
      <c r="Y50" s="259">
        <v>0.189</v>
      </c>
      <c r="Z50" s="256">
        <f>(0.18*'Tab H'!K49)</f>
        <v>13061.519999999999</v>
      </c>
      <c r="AA50" s="256">
        <f>(0.18*'Tab H'!L49)</f>
        <v>9796.14</v>
      </c>
      <c r="AB50" s="256">
        <f>(0.18*'Tab H'!M49)</f>
        <v>13453.365599999999</v>
      </c>
      <c r="AC50" s="256">
        <f>(0.18*'Tab H'!N49)</f>
        <v>13856.966567999998</v>
      </c>
      <c r="AD50" s="256">
        <f>(0.18*'Tab H'!O49)</f>
        <v>14272.675565039999</v>
      </c>
      <c r="AE50" s="256">
        <f>(0.18*'Tab H'!P49)</f>
        <v>14700.855831991201</v>
      </c>
      <c r="AF50" s="206">
        <f>ROUND($Y$4*'Tab H'!Q49,0)</f>
        <v>16018</v>
      </c>
      <c r="AG50" s="257">
        <f>ROUND($Y$4*'Tab H'!R49,0)</f>
        <v>16018</v>
      </c>
      <c r="AH50" s="258">
        <f t="shared" si="22"/>
        <v>4004.5</v>
      </c>
      <c r="AI50" s="258">
        <f t="shared" si="22"/>
        <v>4004.5</v>
      </c>
      <c r="AJ50" s="258">
        <f t="shared" si="22"/>
        <v>4004.5</v>
      </c>
      <c r="AK50" s="258">
        <f t="shared" si="22"/>
        <v>4004.5</v>
      </c>
      <c r="AL50" s="206">
        <v>0.13</v>
      </c>
      <c r="AM50" s="206">
        <v>0.13</v>
      </c>
      <c r="AN50" s="206">
        <v>0.13</v>
      </c>
      <c r="AO50" s="206">
        <v>0.13</v>
      </c>
      <c r="AP50" s="206">
        <v>0.13</v>
      </c>
      <c r="AQ50" s="206">
        <v>0.13</v>
      </c>
      <c r="AR50" s="206">
        <v>0.13</v>
      </c>
      <c r="AS50" s="260">
        <f t="shared" si="43"/>
        <v>0.13</v>
      </c>
      <c r="AT50" s="260">
        <f t="shared" si="44"/>
        <v>0.13</v>
      </c>
      <c r="AU50" s="260">
        <f t="shared" si="45"/>
        <v>0.13</v>
      </c>
      <c r="AV50" s="260">
        <f t="shared" si="46"/>
        <v>0.13</v>
      </c>
      <c r="AW50" s="260">
        <f t="shared" si="47"/>
        <v>0.13</v>
      </c>
      <c r="AX50" s="260">
        <f t="shared" si="48"/>
        <v>0.13</v>
      </c>
      <c r="AY50" s="256">
        <f t="shared" si="23"/>
        <v>1697.9975999999999</v>
      </c>
      <c r="AZ50" s="256">
        <f t="shared" si="24"/>
        <v>1273.4982</v>
      </c>
      <c r="BA50" s="256">
        <f t="shared" si="25"/>
        <v>1748.9375279999999</v>
      </c>
      <c r="BB50" s="256">
        <f t="shared" si="26"/>
        <v>1801.4056538399998</v>
      </c>
      <c r="BC50" s="256">
        <f t="shared" si="27"/>
        <v>1855.4478234552</v>
      </c>
      <c r="BD50" s="256">
        <f t="shared" si="28"/>
        <v>1911.1112581588561</v>
      </c>
      <c r="BE50" s="206">
        <f t="shared" si="29"/>
        <v>2082</v>
      </c>
      <c r="BF50" s="257">
        <f t="shared" si="49"/>
        <v>2082</v>
      </c>
      <c r="BG50" s="258">
        <f t="shared" si="30"/>
        <v>520.5</v>
      </c>
      <c r="BH50" s="258">
        <f t="shared" si="30"/>
        <v>520.5</v>
      </c>
      <c r="BI50" s="258">
        <f t="shared" si="30"/>
        <v>520.5</v>
      </c>
      <c r="BJ50" s="258">
        <f t="shared" si="30"/>
        <v>520.5</v>
      </c>
      <c r="BK50" s="260">
        <v>0.04</v>
      </c>
      <c r="BL50" s="256">
        <f>($BK$4*'Tab H'!K49)</f>
        <v>2902.56</v>
      </c>
      <c r="BM50" s="256">
        <f>($BK$4*'Tab H'!L49)</f>
        <v>2176.92</v>
      </c>
      <c r="BN50" s="256">
        <f>($BK$4*'Tab H'!M49)</f>
        <v>2989.6367999999998</v>
      </c>
      <c r="BO50" s="256">
        <f>($BK$4*'Tab H'!N49)</f>
        <v>3079.3259039999998</v>
      </c>
      <c r="BP50" s="256">
        <f>($BK$4*'Tab H'!O49)</f>
        <v>3171.70568112</v>
      </c>
      <c r="BQ50" s="256">
        <f>($BK$4*'Tab H'!P49)</f>
        <v>3266.8568515536003</v>
      </c>
      <c r="BR50" s="256">
        <f t="shared" si="31"/>
        <v>3390</v>
      </c>
      <c r="BS50" s="257">
        <f>ROUND($BK$4*'Tab H'!R49,0)</f>
        <v>3390</v>
      </c>
      <c r="BT50" s="258">
        <f t="shared" si="32"/>
        <v>847.5</v>
      </c>
      <c r="BU50" s="258">
        <f t="shared" si="32"/>
        <v>847.5</v>
      </c>
      <c r="BV50" s="258">
        <f t="shared" si="32"/>
        <v>847.5</v>
      </c>
      <c r="BW50" s="258">
        <f t="shared" si="32"/>
        <v>847.5</v>
      </c>
      <c r="BX50" s="255">
        <v>0.04</v>
      </c>
      <c r="CF50" s="260">
        <v>0.21</v>
      </c>
      <c r="CG50" s="256">
        <f>($CF$4*'Tab H'!K49)</f>
        <v>15238.439999999999</v>
      </c>
      <c r="CH50" s="256">
        <f>($CF$4*'Tab H'!L49)</f>
        <v>11428.83</v>
      </c>
      <c r="CI50" s="256">
        <f>($CF$4*'Tab H'!M49)</f>
        <v>15695.593199999999</v>
      </c>
      <c r="CJ50" s="256">
        <f>($CF$4*'Tab H'!N49)</f>
        <v>16166.460995999998</v>
      </c>
      <c r="CK50" s="256">
        <f>($CF$4*'Tab H'!O49)</f>
        <v>16651.454825879999</v>
      </c>
      <c r="CL50" s="256">
        <f>($CF$4*'Tab H'!P49)</f>
        <v>17150.998470656399</v>
      </c>
      <c r="CM50" s="206">
        <f>ROUND($CF$4*'Tab H'!Q49,0)</f>
        <v>17798</v>
      </c>
      <c r="CN50" s="257">
        <f>ROUND($CF$4*'Tab H'!R49,0)</f>
        <v>17798</v>
      </c>
      <c r="CO50" s="258">
        <f t="shared" si="33"/>
        <v>4449.5</v>
      </c>
      <c r="CP50" s="258">
        <f t="shared" si="33"/>
        <v>4449.5</v>
      </c>
      <c r="CQ50" s="258">
        <f t="shared" si="33"/>
        <v>4449.5</v>
      </c>
      <c r="CR50" s="258">
        <f t="shared" si="33"/>
        <v>4449.5</v>
      </c>
      <c r="CS50" s="206">
        <v>6.5000000000000002E-2</v>
      </c>
      <c r="CT50" s="206">
        <v>6.5000000000000002E-2</v>
      </c>
      <c r="CU50" s="206">
        <v>6.5000000000000002E-2</v>
      </c>
      <c r="CV50" s="206">
        <v>6.5000000000000002E-2</v>
      </c>
      <c r="CW50" s="206">
        <v>6.5000000000000002E-2</v>
      </c>
      <c r="CX50" s="206">
        <v>6.5000000000000002E-2</v>
      </c>
      <c r="CY50" s="206">
        <v>6.5000000000000002E-2</v>
      </c>
      <c r="CZ50" s="259">
        <f t="shared" si="50"/>
        <v>6.5000000000000002E-2</v>
      </c>
      <c r="DA50" s="259">
        <f t="shared" si="51"/>
        <v>6.5000000000000002E-2</v>
      </c>
      <c r="DB50" s="259">
        <f t="shared" si="52"/>
        <v>6.5000000000000002E-2</v>
      </c>
      <c r="DC50" s="259">
        <f t="shared" si="53"/>
        <v>6.5000000000000002E-2</v>
      </c>
      <c r="DD50" s="259">
        <f t="shared" si="54"/>
        <v>6.5000000000000002E-2</v>
      </c>
      <c r="DE50" s="259">
        <f t="shared" si="55"/>
        <v>6.5000000000000002E-2</v>
      </c>
      <c r="DF50" s="256">
        <f t="shared" si="34"/>
        <v>990.4985999999999</v>
      </c>
      <c r="DG50" s="256">
        <f t="shared" si="35"/>
        <v>742.87395000000004</v>
      </c>
      <c r="DH50" s="256">
        <f t="shared" si="36"/>
        <v>1020.213558</v>
      </c>
      <c r="DI50" s="256">
        <f t="shared" si="37"/>
        <v>1050.8199647399999</v>
      </c>
      <c r="DJ50" s="256">
        <f t="shared" si="38"/>
        <v>1082.3445636822</v>
      </c>
      <c r="DK50" s="256">
        <f t="shared" si="39"/>
        <v>1114.8149005926659</v>
      </c>
      <c r="DL50" s="206">
        <f t="shared" si="40"/>
        <v>1157</v>
      </c>
      <c r="DM50" s="257">
        <f t="shared" si="56"/>
        <v>1157</v>
      </c>
      <c r="DN50" s="258">
        <f t="shared" si="41"/>
        <v>289.25</v>
      </c>
      <c r="DO50" s="258">
        <f t="shared" si="41"/>
        <v>289.25</v>
      </c>
      <c r="DP50" s="258">
        <f t="shared" si="41"/>
        <v>289.25</v>
      </c>
      <c r="DQ50" s="258">
        <f t="shared" si="41"/>
        <v>289.25</v>
      </c>
    </row>
    <row r="51" spans="1:121" x14ac:dyDescent="0.3">
      <c r="A51" s="750"/>
      <c r="B51" s="205" t="s">
        <v>180</v>
      </c>
      <c r="C51" s="206">
        <v>13</v>
      </c>
      <c r="D51" s="255">
        <v>3.49E-2</v>
      </c>
      <c r="E51" s="256">
        <f>($D$4*'Tab H'!K50)</f>
        <v>2356.8319000000001</v>
      </c>
      <c r="F51" s="256">
        <f>($D$4*'Tab H'!L50)</f>
        <v>1767.6239250000001</v>
      </c>
      <c r="G51" s="256">
        <f>($D$4*'Tab H'!M50)</f>
        <v>2427.5368570000005</v>
      </c>
      <c r="H51" s="256">
        <f>($D$4*'Tab H'!N50)</f>
        <v>2500.3629627100004</v>
      </c>
      <c r="I51" s="256">
        <f>($D$4*'Tab H'!O50)</f>
        <v>2575.3738515913005</v>
      </c>
      <c r="J51" s="256">
        <f>($D$4*'Tab H'!P50)</f>
        <v>2652.6350671390396</v>
      </c>
      <c r="K51" s="206">
        <f>ROUND($D$4*'Tab H'!Q50,0)</f>
        <v>2753</v>
      </c>
      <c r="L51" s="257">
        <f>ROUND($D$4*'Tab H'!R50,0)</f>
        <v>2753</v>
      </c>
      <c r="M51" s="258">
        <f t="shared" si="57"/>
        <v>688.25</v>
      </c>
      <c r="N51" s="258">
        <f t="shared" si="57"/>
        <v>688.25</v>
      </c>
      <c r="O51" s="258">
        <f t="shared" si="57"/>
        <v>688.25</v>
      </c>
      <c r="P51" s="258">
        <f t="shared" si="57"/>
        <v>688.25</v>
      </c>
      <c r="Q51" s="255">
        <v>3.49E-2</v>
      </c>
      <c r="Y51" s="259">
        <v>0.189</v>
      </c>
      <c r="Z51" s="256">
        <f>(0.18*'Tab H'!K50)</f>
        <v>12155.58</v>
      </c>
      <c r="AA51" s="256">
        <f>(0.18*'Tab H'!L50)</f>
        <v>9116.6849999999995</v>
      </c>
      <c r="AB51" s="256">
        <f>(0.18*'Tab H'!M50)</f>
        <v>12520.2474</v>
      </c>
      <c r="AC51" s="256">
        <f>(0.18*'Tab H'!N50)</f>
        <v>12895.854822000003</v>
      </c>
      <c r="AD51" s="256">
        <f>(0.18*'Tab H'!O50)</f>
        <v>13282.730466660003</v>
      </c>
      <c r="AE51" s="256">
        <f>(0.18*'Tab H'!P50)</f>
        <v>13681.212380659803</v>
      </c>
      <c r="AF51" s="206">
        <f>ROUND($Y$4*'Tab H'!Q50,0)</f>
        <v>14908</v>
      </c>
      <c r="AG51" s="257">
        <f>ROUND($Y$4*'Tab H'!R50,0)</f>
        <v>14908</v>
      </c>
      <c r="AH51" s="258">
        <f t="shared" si="22"/>
        <v>3727</v>
      </c>
      <c r="AI51" s="258">
        <f t="shared" si="22"/>
        <v>3727</v>
      </c>
      <c r="AJ51" s="258">
        <f t="shared" si="22"/>
        <v>3727</v>
      </c>
      <c r="AK51" s="258">
        <f t="shared" si="22"/>
        <v>3727</v>
      </c>
      <c r="AL51" s="206">
        <v>0.13</v>
      </c>
      <c r="AM51" s="206">
        <v>0.13</v>
      </c>
      <c r="AN51" s="206">
        <v>0.13</v>
      </c>
      <c r="AO51" s="206">
        <v>0.13</v>
      </c>
      <c r="AP51" s="206">
        <v>0.13</v>
      </c>
      <c r="AQ51" s="206">
        <v>0.13</v>
      </c>
      <c r="AR51" s="206">
        <v>0.13</v>
      </c>
      <c r="AS51" s="260">
        <f t="shared" si="43"/>
        <v>0.13</v>
      </c>
      <c r="AT51" s="260">
        <f t="shared" si="44"/>
        <v>0.13</v>
      </c>
      <c r="AU51" s="260">
        <f t="shared" si="45"/>
        <v>0.13</v>
      </c>
      <c r="AV51" s="260">
        <f t="shared" si="46"/>
        <v>0.13</v>
      </c>
      <c r="AW51" s="260">
        <f t="shared" si="47"/>
        <v>0.13</v>
      </c>
      <c r="AX51" s="260">
        <f t="shared" si="48"/>
        <v>0.13</v>
      </c>
      <c r="AY51" s="256">
        <f t="shared" si="23"/>
        <v>1580.2254</v>
      </c>
      <c r="AZ51" s="256">
        <f t="shared" si="24"/>
        <v>1185.16905</v>
      </c>
      <c r="BA51" s="256">
        <f t="shared" si="25"/>
        <v>1627.6321620000001</v>
      </c>
      <c r="BB51" s="256">
        <f t="shared" si="26"/>
        <v>1676.4611268600004</v>
      </c>
      <c r="BC51" s="256">
        <f t="shared" si="27"/>
        <v>1726.7549606658004</v>
      </c>
      <c r="BD51" s="256">
        <f t="shared" si="28"/>
        <v>1778.5576094857745</v>
      </c>
      <c r="BE51" s="206">
        <f t="shared" si="29"/>
        <v>1938</v>
      </c>
      <c r="BF51" s="257">
        <f t="shared" si="49"/>
        <v>1938</v>
      </c>
      <c r="BG51" s="258">
        <f t="shared" si="30"/>
        <v>484.5</v>
      </c>
      <c r="BH51" s="258">
        <f t="shared" si="30"/>
        <v>484.5</v>
      </c>
      <c r="BI51" s="258">
        <f t="shared" si="30"/>
        <v>484.5</v>
      </c>
      <c r="BJ51" s="258">
        <f t="shared" si="30"/>
        <v>484.5</v>
      </c>
      <c r="BK51" s="260">
        <v>0.04</v>
      </c>
      <c r="BL51" s="256">
        <f>($BK$4*'Tab H'!K50)</f>
        <v>2701.2400000000002</v>
      </c>
      <c r="BM51" s="256">
        <f>($BK$4*'Tab H'!L50)</f>
        <v>2025.93</v>
      </c>
      <c r="BN51" s="256">
        <f>($BK$4*'Tab H'!M50)</f>
        <v>2782.2772000000004</v>
      </c>
      <c r="BO51" s="256">
        <f>($BK$4*'Tab H'!N50)</f>
        <v>2865.7455160000009</v>
      </c>
      <c r="BP51" s="256">
        <f>($BK$4*'Tab H'!O50)</f>
        <v>2951.7178814800009</v>
      </c>
      <c r="BQ51" s="256">
        <f>($BK$4*'Tab H'!P50)</f>
        <v>3040.2694179244008</v>
      </c>
      <c r="BR51" s="256">
        <f t="shared" si="31"/>
        <v>3155</v>
      </c>
      <c r="BS51" s="257">
        <f>ROUND($BK$4*'Tab H'!R50,0)</f>
        <v>3155</v>
      </c>
      <c r="BT51" s="258">
        <f t="shared" si="32"/>
        <v>788.75</v>
      </c>
      <c r="BU51" s="258">
        <f t="shared" si="32"/>
        <v>788.75</v>
      </c>
      <c r="BV51" s="258">
        <f t="shared" si="32"/>
        <v>788.75</v>
      </c>
      <c r="BW51" s="258">
        <f t="shared" si="32"/>
        <v>788.75</v>
      </c>
      <c r="BX51" s="255">
        <v>0.04</v>
      </c>
      <c r="CF51" s="260">
        <v>0.21</v>
      </c>
      <c r="CG51" s="256">
        <f>($CF$4*'Tab H'!K50)</f>
        <v>14181.51</v>
      </c>
      <c r="CH51" s="256">
        <f>($CF$4*'Tab H'!L50)</f>
        <v>10636.1325</v>
      </c>
      <c r="CI51" s="256">
        <f>($CF$4*'Tab H'!M50)</f>
        <v>14606.955300000001</v>
      </c>
      <c r="CJ51" s="256">
        <f>($CF$4*'Tab H'!N50)</f>
        <v>15045.163959000003</v>
      </c>
      <c r="CK51" s="256">
        <f>($CF$4*'Tab H'!O50)</f>
        <v>15496.518877770004</v>
      </c>
      <c r="CL51" s="256">
        <f>($CF$4*'Tab H'!P50)</f>
        <v>15961.414444103104</v>
      </c>
      <c r="CM51" s="206">
        <f>ROUND($CF$4*'Tab H'!Q50,0)</f>
        <v>16564</v>
      </c>
      <c r="CN51" s="257">
        <f>ROUND($CF$4*'Tab H'!R50,0)</f>
        <v>16564</v>
      </c>
      <c r="CO51" s="258">
        <f t="shared" si="33"/>
        <v>4141</v>
      </c>
      <c r="CP51" s="258">
        <f t="shared" si="33"/>
        <v>4141</v>
      </c>
      <c r="CQ51" s="258">
        <f t="shared" si="33"/>
        <v>4141</v>
      </c>
      <c r="CR51" s="258">
        <f t="shared" si="33"/>
        <v>4141</v>
      </c>
      <c r="CS51" s="206">
        <v>6.5000000000000002E-2</v>
      </c>
      <c r="CT51" s="206">
        <v>6.5000000000000002E-2</v>
      </c>
      <c r="CU51" s="206">
        <v>6.5000000000000002E-2</v>
      </c>
      <c r="CV51" s="206">
        <v>6.5000000000000002E-2</v>
      </c>
      <c r="CW51" s="206">
        <v>6.5000000000000002E-2</v>
      </c>
      <c r="CX51" s="206">
        <v>6.5000000000000002E-2</v>
      </c>
      <c r="CY51" s="206">
        <v>6.5000000000000002E-2</v>
      </c>
      <c r="CZ51" s="259">
        <f t="shared" si="50"/>
        <v>6.5000000000000002E-2</v>
      </c>
      <c r="DA51" s="259">
        <f t="shared" si="51"/>
        <v>6.5000000000000002E-2</v>
      </c>
      <c r="DB51" s="259">
        <f t="shared" si="52"/>
        <v>6.5000000000000002E-2</v>
      </c>
      <c r="DC51" s="259">
        <f t="shared" si="53"/>
        <v>6.5000000000000002E-2</v>
      </c>
      <c r="DD51" s="259">
        <f t="shared" si="54"/>
        <v>6.5000000000000002E-2</v>
      </c>
      <c r="DE51" s="259">
        <f t="shared" si="55"/>
        <v>6.5000000000000002E-2</v>
      </c>
      <c r="DF51" s="256">
        <f t="shared" si="34"/>
        <v>921.79815000000008</v>
      </c>
      <c r="DG51" s="256">
        <f t="shared" si="35"/>
        <v>691.34861250000006</v>
      </c>
      <c r="DH51" s="256">
        <f t="shared" si="36"/>
        <v>949.45209450000016</v>
      </c>
      <c r="DI51" s="256">
        <f t="shared" si="37"/>
        <v>977.9356573350002</v>
      </c>
      <c r="DJ51" s="256">
        <f t="shared" si="38"/>
        <v>1007.2737270550504</v>
      </c>
      <c r="DK51" s="256">
        <f t="shared" si="39"/>
        <v>1037.4919388667017</v>
      </c>
      <c r="DL51" s="206">
        <f t="shared" si="40"/>
        <v>1077</v>
      </c>
      <c r="DM51" s="257">
        <f t="shared" si="56"/>
        <v>1077</v>
      </c>
      <c r="DN51" s="258">
        <f t="shared" si="41"/>
        <v>269.25</v>
      </c>
      <c r="DO51" s="258">
        <f t="shared" si="41"/>
        <v>269.25</v>
      </c>
      <c r="DP51" s="258">
        <f t="shared" si="41"/>
        <v>269.25</v>
      </c>
      <c r="DQ51" s="258">
        <f t="shared" si="41"/>
        <v>269.25</v>
      </c>
    </row>
    <row r="52" spans="1:121" x14ac:dyDescent="0.3">
      <c r="A52" s="750"/>
      <c r="B52" s="205" t="s">
        <v>181</v>
      </c>
      <c r="C52" s="206">
        <v>12</v>
      </c>
      <c r="D52" s="255">
        <v>3.49E-2</v>
      </c>
      <c r="E52" s="256">
        <f>($D$4*'Tab H'!K51)</f>
        <v>3147.3517999999999</v>
      </c>
      <c r="F52" s="256">
        <f>($D$4*'Tab H'!L51)</f>
        <v>2360.5138499999998</v>
      </c>
      <c r="G52" s="256">
        <f>($D$4*'Tab H'!M51)</f>
        <v>3241.7723540000002</v>
      </c>
      <c r="H52" s="256">
        <f>($D$4*'Tab H'!N51)</f>
        <v>3339.0255246200004</v>
      </c>
      <c r="I52" s="256">
        <f>($D$4*'Tab H'!O51)</f>
        <v>3439.1962903586004</v>
      </c>
      <c r="J52" s="256">
        <f>($D$4*'Tab H'!P51)</f>
        <v>3542.3721790693589</v>
      </c>
      <c r="K52" s="206">
        <f>ROUND($D$4*'Tab H'!Q51,0)</f>
        <v>3676</v>
      </c>
      <c r="L52" s="257">
        <f>ROUND($D$4*'Tab H'!R51,0)</f>
        <v>3676</v>
      </c>
      <c r="M52" s="258">
        <f t="shared" si="57"/>
        <v>919</v>
      </c>
      <c r="N52" s="258">
        <f t="shared" si="57"/>
        <v>919</v>
      </c>
      <c r="O52" s="258">
        <f t="shared" si="57"/>
        <v>919</v>
      </c>
      <c r="P52" s="258">
        <f t="shared" si="57"/>
        <v>919</v>
      </c>
      <c r="Q52" s="255">
        <v>3.49E-2</v>
      </c>
      <c r="Y52" s="259">
        <v>0.189</v>
      </c>
      <c r="Z52" s="256">
        <f>(0.18*'Tab H'!K51)</f>
        <v>16232.76</v>
      </c>
      <c r="AA52" s="256">
        <f>(0.18*'Tab H'!L51)</f>
        <v>12174.57</v>
      </c>
      <c r="AB52" s="256">
        <f>(0.18*'Tab H'!M51)</f>
        <v>16719.7428</v>
      </c>
      <c r="AC52" s="256">
        <f>(0.18*'Tab H'!N51)</f>
        <v>17221.335084000002</v>
      </c>
      <c r="AD52" s="256">
        <f>(0.18*'Tab H'!O51)</f>
        <v>17737.975136520003</v>
      </c>
      <c r="AE52" s="256">
        <f>(0.18*'Tab H'!P51)</f>
        <v>18270.114390615603</v>
      </c>
      <c r="AF52" s="206">
        <f>ROUND($Y$4*'Tab H'!Q51,0)</f>
        <v>19907</v>
      </c>
      <c r="AG52" s="257">
        <f>ROUND($Y$4*'Tab H'!R51,0)</f>
        <v>19907</v>
      </c>
      <c r="AH52" s="258">
        <f t="shared" si="22"/>
        <v>4976.75</v>
      </c>
      <c r="AI52" s="258">
        <f t="shared" si="22"/>
        <v>4976.75</v>
      </c>
      <c r="AJ52" s="258">
        <f t="shared" si="22"/>
        <v>4976.75</v>
      </c>
      <c r="AK52" s="258">
        <f t="shared" si="22"/>
        <v>4976.75</v>
      </c>
      <c r="AL52" s="206">
        <v>0.13</v>
      </c>
      <c r="AM52" s="206">
        <v>0.13</v>
      </c>
      <c r="AN52" s="206">
        <v>0.13</v>
      </c>
      <c r="AO52" s="206">
        <v>0.13</v>
      </c>
      <c r="AP52" s="206">
        <v>0.13</v>
      </c>
      <c r="AQ52" s="206">
        <v>0.13</v>
      </c>
      <c r="AR52" s="206">
        <v>0.13</v>
      </c>
      <c r="AS52" s="260">
        <f t="shared" si="43"/>
        <v>0.13</v>
      </c>
      <c r="AT52" s="260">
        <f t="shared" si="44"/>
        <v>0.13</v>
      </c>
      <c r="AU52" s="260">
        <f t="shared" si="45"/>
        <v>0.13</v>
      </c>
      <c r="AV52" s="260">
        <f t="shared" si="46"/>
        <v>0.13</v>
      </c>
      <c r="AW52" s="260">
        <f t="shared" si="47"/>
        <v>0.13</v>
      </c>
      <c r="AX52" s="260">
        <f t="shared" si="48"/>
        <v>0.13</v>
      </c>
      <c r="AY52" s="256">
        <f t="shared" si="23"/>
        <v>2110.2588000000001</v>
      </c>
      <c r="AZ52" s="256">
        <f t="shared" si="24"/>
        <v>1582.6940999999999</v>
      </c>
      <c r="BA52" s="256">
        <f t="shared" si="25"/>
        <v>2173.5665640000002</v>
      </c>
      <c r="BB52" s="256">
        <f t="shared" si="26"/>
        <v>2238.7735609200004</v>
      </c>
      <c r="BC52" s="256">
        <f t="shared" si="27"/>
        <v>2305.9367677476002</v>
      </c>
      <c r="BD52" s="256">
        <f t="shared" si="28"/>
        <v>2375.1148707800285</v>
      </c>
      <c r="BE52" s="206">
        <f t="shared" si="29"/>
        <v>2588</v>
      </c>
      <c r="BF52" s="257">
        <f t="shared" si="49"/>
        <v>2588</v>
      </c>
      <c r="BG52" s="258">
        <f t="shared" si="30"/>
        <v>647</v>
      </c>
      <c r="BH52" s="258">
        <f t="shared" si="30"/>
        <v>647</v>
      </c>
      <c r="BI52" s="258">
        <f t="shared" si="30"/>
        <v>647</v>
      </c>
      <c r="BJ52" s="258">
        <f t="shared" si="30"/>
        <v>647</v>
      </c>
      <c r="BK52" s="260">
        <v>0.04</v>
      </c>
      <c r="BL52" s="256">
        <f>($BK$4*'Tab H'!K51)</f>
        <v>3607.28</v>
      </c>
      <c r="BM52" s="256">
        <f>($BK$4*'Tab H'!L51)</f>
        <v>2705.46</v>
      </c>
      <c r="BN52" s="256">
        <f>($BK$4*'Tab H'!M51)</f>
        <v>3715.4984000000004</v>
      </c>
      <c r="BO52" s="256">
        <f>($BK$4*'Tab H'!N51)</f>
        <v>3826.9633520000002</v>
      </c>
      <c r="BP52" s="256">
        <f>($BK$4*'Tab H'!O51)</f>
        <v>3941.7722525600007</v>
      </c>
      <c r="BQ52" s="256">
        <f>($BK$4*'Tab H'!P51)</f>
        <v>4060.0254201368011</v>
      </c>
      <c r="BR52" s="256">
        <f t="shared" si="31"/>
        <v>4213</v>
      </c>
      <c r="BS52" s="257">
        <f>ROUND($BK$4*'Tab H'!R51,0)</f>
        <v>4213</v>
      </c>
      <c r="BT52" s="258">
        <f t="shared" si="32"/>
        <v>1053.25</v>
      </c>
      <c r="BU52" s="258">
        <f t="shared" si="32"/>
        <v>1053.25</v>
      </c>
      <c r="BV52" s="258">
        <f t="shared" si="32"/>
        <v>1053.25</v>
      </c>
      <c r="BW52" s="258">
        <f t="shared" si="32"/>
        <v>1053.25</v>
      </c>
      <c r="BX52" s="255">
        <v>0.04</v>
      </c>
      <c r="CF52" s="260">
        <v>0.21</v>
      </c>
      <c r="CG52" s="256">
        <f>($CF$4*'Tab H'!K51)</f>
        <v>18938.219999999998</v>
      </c>
      <c r="CH52" s="256">
        <f>($CF$4*'Tab H'!L51)</f>
        <v>14203.664999999999</v>
      </c>
      <c r="CI52" s="256">
        <f>($CF$4*'Tab H'!M51)</f>
        <v>19506.366600000001</v>
      </c>
      <c r="CJ52" s="256">
        <f>($CF$4*'Tab H'!N51)</f>
        <v>20091.557597999999</v>
      </c>
      <c r="CK52" s="256">
        <f>($CF$4*'Tab H'!O51)</f>
        <v>20694.304325940004</v>
      </c>
      <c r="CL52" s="256">
        <f>($CF$4*'Tab H'!P51)</f>
        <v>21315.133455718205</v>
      </c>
      <c r="CM52" s="206">
        <f>ROUND($CF$4*'Tab H'!Q51,0)</f>
        <v>22119</v>
      </c>
      <c r="CN52" s="257">
        <f>ROUND($CF$4*'Tab H'!R51,0)</f>
        <v>22119</v>
      </c>
      <c r="CO52" s="258">
        <f t="shared" si="33"/>
        <v>5529.75</v>
      </c>
      <c r="CP52" s="258">
        <f t="shared" si="33"/>
        <v>5529.75</v>
      </c>
      <c r="CQ52" s="258">
        <f t="shared" si="33"/>
        <v>5529.75</v>
      </c>
      <c r="CR52" s="258">
        <f t="shared" si="33"/>
        <v>5529.75</v>
      </c>
      <c r="CS52" s="206">
        <v>6.5000000000000002E-2</v>
      </c>
      <c r="CT52" s="206">
        <v>6.5000000000000002E-2</v>
      </c>
      <c r="CU52" s="206">
        <v>6.5000000000000002E-2</v>
      </c>
      <c r="CV52" s="206">
        <v>6.5000000000000002E-2</v>
      </c>
      <c r="CW52" s="206">
        <v>6.5000000000000002E-2</v>
      </c>
      <c r="CX52" s="206">
        <v>6.5000000000000002E-2</v>
      </c>
      <c r="CY52" s="206">
        <v>6.5000000000000002E-2</v>
      </c>
      <c r="CZ52" s="259">
        <f t="shared" si="50"/>
        <v>6.5000000000000002E-2</v>
      </c>
      <c r="DA52" s="259">
        <f t="shared" si="51"/>
        <v>6.5000000000000002E-2</v>
      </c>
      <c r="DB52" s="259">
        <f t="shared" si="52"/>
        <v>6.5000000000000002E-2</v>
      </c>
      <c r="DC52" s="259">
        <f t="shared" si="53"/>
        <v>6.5000000000000002E-2</v>
      </c>
      <c r="DD52" s="259">
        <f t="shared" si="54"/>
        <v>6.5000000000000002E-2</v>
      </c>
      <c r="DE52" s="259">
        <f t="shared" si="55"/>
        <v>6.5000000000000002E-2</v>
      </c>
      <c r="DF52" s="256">
        <f t="shared" si="34"/>
        <v>1230.9842999999998</v>
      </c>
      <c r="DG52" s="256">
        <f t="shared" si="35"/>
        <v>923.23822499999994</v>
      </c>
      <c r="DH52" s="256">
        <f t="shared" si="36"/>
        <v>1267.9138290000001</v>
      </c>
      <c r="DI52" s="256">
        <f t="shared" si="37"/>
        <v>1305.9512438700001</v>
      </c>
      <c r="DJ52" s="256">
        <f t="shared" si="38"/>
        <v>1345.1297811861002</v>
      </c>
      <c r="DK52" s="256">
        <f t="shared" si="39"/>
        <v>1385.4836746216833</v>
      </c>
      <c r="DL52" s="206">
        <f t="shared" si="40"/>
        <v>1438</v>
      </c>
      <c r="DM52" s="257">
        <f t="shared" si="56"/>
        <v>1438</v>
      </c>
      <c r="DN52" s="258">
        <f t="shared" si="41"/>
        <v>359.5</v>
      </c>
      <c r="DO52" s="258">
        <f t="shared" si="41"/>
        <v>359.5</v>
      </c>
      <c r="DP52" s="258">
        <f t="shared" si="41"/>
        <v>359.5</v>
      </c>
      <c r="DQ52" s="258">
        <f t="shared" si="41"/>
        <v>359.5</v>
      </c>
    </row>
    <row r="53" spans="1:121" x14ac:dyDescent="0.3">
      <c r="A53" s="750" t="s">
        <v>131</v>
      </c>
      <c r="B53" s="205" t="s">
        <v>182</v>
      </c>
      <c r="C53" s="206">
        <v>20</v>
      </c>
      <c r="D53" s="255">
        <v>3.49E-2</v>
      </c>
      <c r="E53" s="256">
        <f>($D$4*'Tab H'!K52)</f>
        <v>4617.6189999999997</v>
      </c>
      <c r="F53" s="256">
        <f>($D$4*'Tab H'!L52)</f>
        <v>4617.6189999999997</v>
      </c>
      <c r="G53" s="256">
        <f>($D$4*'Tab H'!M52)</f>
        <v>4756.147570000001</v>
      </c>
      <c r="H53" s="256">
        <f>($D$4*'Tab H'!N52)</f>
        <v>4898.831997100001</v>
      </c>
      <c r="I53" s="256">
        <f>($D$4*'Tab H'!O52)</f>
        <v>5045.7969570130008</v>
      </c>
      <c r="J53" s="256">
        <f>($D$4*'Tab H'!P52)</f>
        <v>5197.1708657233903</v>
      </c>
      <c r="K53" s="206">
        <f>ROUND($D$4*'Tab H'!Q52,0)</f>
        <v>2697</v>
      </c>
      <c r="L53" s="257">
        <f>ROUND($D$4*'Tab H'!R52,0)</f>
        <v>5393</v>
      </c>
      <c r="M53" s="258">
        <f t="shared" ref="M53:N59" si="58">$L53/4</f>
        <v>1348.25</v>
      </c>
      <c r="N53" s="258">
        <f t="shared" si="58"/>
        <v>1348.25</v>
      </c>
      <c r="O53" s="258"/>
      <c r="P53" s="258"/>
      <c r="Q53" s="255">
        <v>3.49E-2</v>
      </c>
      <c r="Y53" s="259">
        <v>0.189</v>
      </c>
      <c r="Z53" s="256">
        <f>(0.18*'Tab H'!K52)</f>
        <v>23815.8</v>
      </c>
      <c r="AA53" s="256">
        <f>(0.18*'Tab H'!L52)</f>
        <v>23815.8</v>
      </c>
      <c r="AB53" s="256">
        <f>(0.18*'Tab H'!M52)</f>
        <v>24530.274000000001</v>
      </c>
      <c r="AC53" s="256">
        <f>(0.18*'Tab H'!N52)</f>
        <v>25266.182220000006</v>
      </c>
      <c r="AD53" s="256">
        <f>(0.18*'Tab H'!O52)</f>
        <v>26024.167686600005</v>
      </c>
      <c r="AE53" s="256">
        <f>(0.18*'Tab H'!P52)</f>
        <v>26804.892717198003</v>
      </c>
      <c r="AF53" s="206">
        <f>ROUND($Y$4*'Tab H'!Q52,0)</f>
        <v>14603</v>
      </c>
      <c r="AG53" s="257">
        <f>ROUND($Y$4*'Tab H'!R52,0)</f>
        <v>29207</v>
      </c>
      <c r="AH53" s="258">
        <f t="shared" si="22"/>
        <v>7301.75</v>
      </c>
      <c r="AI53" s="258">
        <f t="shared" si="22"/>
        <v>7301.75</v>
      </c>
      <c r="AJ53" s="258"/>
      <c r="AK53" s="258"/>
      <c r="AL53" s="206">
        <v>0.13</v>
      </c>
      <c r="AM53" s="206">
        <v>0.13</v>
      </c>
      <c r="AN53" s="206">
        <v>0.13</v>
      </c>
      <c r="AO53" s="206">
        <v>0.13</v>
      </c>
      <c r="AP53" s="206">
        <v>0.13</v>
      </c>
      <c r="AQ53" s="206">
        <v>0.13</v>
      </c>
      <c r="AR53" s="206">
        <v>0.13</v>
      </c>
      <c r="AS53" s="260">
        <f t="shared" si="43"/>
        <v>0.13</v>
      </c>
      <c r="AT53" s="260">
        <f t="shared" si="44"/>
        <v>0.13</v>
      </c>
      <c r="AU53" s="260">
        <f t="shared" si="45"/>
        <v>0.13</v>
      </c>
      <c r="AV53" s="260">
        <f t="shared" si="46"/>
        <v>0.13</v>
      </c>
      <c r="AW53" s="260">
        <f t="shared" si="47"/>
        <v>0.13</v>
      </c>
      <c r="AX53" s="260">
        <f t="shared" si="48"/>
        <v>0.13</v>
      </c>
      <c r="AY53" s="256">
        <f t="shared" si="23"/>
        <v>3096.0540000000001</v>
      </c>
      <c r="AZ53" s="256">
        <f t="shared" si="24"/>
        <v>3096.0540000000001</v>
      </c>
      <c r="BA53" s="256">
        <f t="shared" si="25"/>
        <v>3188.9356200000002</v>
      </c>
      <c r="BB53" s="256">
        <f t="shared" si="26"/>
        <v>3284.6036886000011</v>
      </c>
      <c r="BC53" s="256">
        <f t="shared" si="27"/>
        <v>3383.1417992580009</v>
      </c>
      <c r="BD53" s="256">
        <f t="shared" si="28"/>
        <v>3484.6360532357407</v>
      </c>
      <c r="BE53" s="206">
        <f t="shared" si="29"/>
        <v>1898</v>
      </c>
      <c r="BF53" s="257">
        <f t="shared" si="49"/>
        <v>3797</v>
      </c>
      <c r="BG53" s="258">
        <f t="shared" si="30"/>
        <v>949.25</v>
      </c>
      <c r="BH53" s="258">
        <f t="shared" si="30"/>
        <v>949.25</v>
      </c>
      <c r="BI53" s="258"/>
      <c r="BJ53" s="258"/>
      <c r="BK53" s="260">
        <v>0.04</v>
      </c>
      <c r="BL53" s="256">
        <f>($BK$4*'Tab H'!K52)</f>
        <v>5292.4000000000005</v>
      </c>
      <c r="BM53" s="256">
        <f>($BK$4*'Tab H'!L52)</f>
        <v>5292.4000000000005</v>
      </c>
      <c r="BN53" s="256">
        <f>($BK$4*'Tab H'!M52)</f>
        <v>5451.1720000000005</v>
      </c>
      <c r="BO53" s="256">
        <f>($BK$4*'Tab H'!N52)</f>
        <v>5614.7071600000017</v>
      </c>
      <c r="BP53" s="256">
        <f>($BK$4*'Tab H'!O52)</f>
        <v>5783.148374800001</v>
      </c>
      <c r="BQ53" s="256">
        <f>($BK$4*'Tab H'!P52)</f>
        <v>5956.6428260440007</v>
      </c>
      <c r="BR53" s="256">
        <f t="shared" si="31"/>
        <v>3090.5</v>
      </c>
      <c r="BS53" s="257">
        <f>ROUND($BK$4*'Tab H'!R52,0)</f>
        <v>6181</v>
      </c>
      <c r="BT53" s="258">
        <f t="shared" si="32"/>
        <v>1545.25</v>
      </c>
      <c r="BU53" s="258">
        <f t="shared" si="32"/>
        <v>1545.25</v>
      </c>
      <c r="BV53" s="258"/>
      <c r="BW53" s="258"/>
      <c r="BX53" s="255">
        <v>0.04</v>
      </c>
      <c r="CF53" s="260">
        <v>0.21</v>
      </c>
      <c r="CG53" s="256">
        <f>($CF$4*'Tab H'!K52)</f>
        <v>27785.1</v>
      </c>
      <c r="CH53" s="256">
        <f>($CF$4*'Tab H'!L52)</f>
        <v>27785.1</v>
      </c>
      <c r="CI53" s="256">
        <f>($CF$4*'Tab H'!M52)</f>
        <v>28618.653000000002</v>
      </c>
      <c r="CJ53" s="256">
        <f>($CF$4*'Tab H'!N52)</f>
        <v>29477.212590000006</v>
      </c>
      <c r="CK53" s="256">
        <f>($CF$4*'Tab H'!O52)</f>
        <v>30361.528967700004</v>
      </c>
      <c r="CL53" s="256">
        <f>($CF$4*'Tab H'!P52)</f>
        <v>31272.374836731004</v>
      </c>
      <c r="CM53" s="206">
        <f>ROUND($CF$4*'Tab H'!Q52,0)</f>
        <v>16226</v>
      </c>
      <c r="CN53" s="257">
        <f>ROUND($CF$4*'Tab H'!R52,0)</f>
        <v>32452</v>
      </c>
      <c r="CO53" s="258">
        <f t="shared" si="33"/>
        <v>8113</v>
      </c>
      <c r="CP53" s="258">
        <f t="shared" si="33"/>
        <v>8113</v>
      </c>
      <c r="CQ53" s="258"/>
      <c r="CR53" s="258"/>
      <c r="CS53" s="206">
        <v>3.7999999999999999E-2</v>
      </c>
      <c r="CT53" s="206">
        <v>3.7999999999999999E-2</v>
      </c>
      <c r="CU53" s="206">
        <v>3.7999999999999999E-2</v>
      </c>
      <c r="CV53" s="206">
        <v>3.7999999999999999E-2</v>
      </c>
      <c r="CW53" s="206">
        <v>3.7999999999999999E-2</v>
      </c>
      <c r="CX53" s="206">
        <v>3.7999999999999999E-2</v>
      </c>
      <c r="CY53" s="206">
        <v>3.7999999999999999E-2</v>
      </c>
      <c r="CZ53" s="259">
        <f t="shared" si="50"/>
        <v>3.7999999999999999E-2</v>
      </c>
      <c r="DA53" s="259">
        <f t="shared" si="51"/>
        <v>3.7999999999999999E-2</v>
      </c>
      <c r="DB53" s="259">
        <f t="shared" si="52"/>
        <v>3.7999999999999999E-2</v>
      </c>
      <c r="DC53" s="259">
        <f t="shared" si="53"/>
        <v>3.7999999999999999E-2</v>
      </c>
      <c r="DD53" s="259">
        <f t="shared" si="54"/>
        <v>3.7999999999999999E-2</v>
      </c>
      <c r="DE53" s="259">
        <f t="shared" si="55"/>
        <v>3.7999999999999999E-2</v>
      </c>
      <c r="DF53" s="256">
        <f t="shared" si="34"/>
        <v>1055.8337999999999</v>
      </c>
      <c r="DG53" s="256">
        <f t="shared" si="35"/>
        <v>1055.8337999999999</v>
      </c>
      <c r="DH53" s="256">
        <f t="shared" si="36"/>
        <v>1087.508814</v>
      </c>
      <c r="DI53" s="256">
        <f t="shared" si="37"/>
        <v>1120.1340784200002</v>
      </c>
      <c r="DJ53" s="256">
        <f t="shared" si="38"/>
        <v>1153.7381007726001</v>
      </c>
      <c r="DK53" s="256">
        <f t="shared" si="39"/>
        <v>1188.3502437957782</v>
      </c>
      <c r="DL53" s="206">
        <f t="shared" si="40"/>
        <v>617</v>
      </c>
      <c r="DM53" s="257">
        <f t="shared" si="56"/>
        <v>1233</v>
      </c>
      <c r="DN53" s="258">
        <f t="shared" si="41"/>
        <v>308.25</v>
      </c>
      <c r="DO53" s="258">
        <f t="shared" si="41"/>
        <v>308.25</v>
      </c>
      <c r="DP53" s="258"/>
      <c r="DQ53" s="258"/>
    </row>
    <row r="54" spans="1:121" x14ac:dyDescent="0.3">
      <c r="A54" s="750"/>
      <c r="B54" s="205" t="s">
        <v>183</v>
      </c>
      <c r="C54" s="206">
        <v>17</v>
      </c>
      <c r="D54" s="255">
        <v>3.49E-2</v>
      </c>
      <c r="E54" s="256">
        <f>($D$4*'Tab H'!K53)</f>
        <v>3801.9362000000001</v>
      </c>
      <c r="F54" s="256">
        <f>($D$4*'Tab H'!L53)</f>
        <v>3801.9362000000001</v>
      </c>
      <c r="G54" s="256">
        <f>($D$4*'Tab H'!M53)</f>
        <v>3915.9942860000001</v>
      </c>
      <c r="H54" s="256">
        <f>($D$4*'Tab H'!N53)</f>
        <v>4033.4741145800003</v>
      </c>
      <c r="I54" s="256">
        <f>($D$4*'Tab H'!O53)</f>
        <v>4154.4783380174003</v>
      </c>
      <c r="J54" s="256">
        <f>($D$4*'Tab H'!P53)</f>
        <v>4279.1126881579221</v>
      </c>
      <c r="K54" s="206">
        <f>ROUND($D$4*'Tab H'!Q53,0)</f>
        <v>2220</v>
      </c>
      <c r="L54" s="257">
        <f>ROUND($D$4*'Tab H'!R53,0)</f>
        <v>4440</v>
      </c>
      <c r="M54" s="258">
        <f t="shared" si="58"/>
        <v>1110</v>
      </c>
      <c r="N54" s="258">
        <f t="shared" si="58"/>
        <v>1110</v>
      </c>
      <c r="O54" s="258"/>
      <c r="P54" s="258"/>
      <c r="Q54" s="255">
        <v>3.49E-2</v>
      </c>
      <c r="Y54" s="259">
        <v>0.189</v>
      </c>
      <c r="Z54" s="256">
        <f>(0.18*'Tab H'!K53)</f>
        <v>19608.84</v>
      </c>
      <c r="AA54" s="256">
        <f>(0.18*'Tab H'!L53)</f>
        <v>19608.84</v>
      </c>
      <c r="AB54" s="256">
        <f>(0.18*'Tab H'!M53)</f>
        <v>20197.105199999998</v>
      </c>
      <c r="AC54" s="256">
        <f>(0.18*'Tab H'!N53)</f>
        <v>20803.018356</v>
      </c>
      <c r="AD54" s="256">
        <f>(0.18*'Tab H'!O53)</f>
        <v>21427.108906680001</v>
      </c>
      <c r="AE54" s="256">
        <f>(0.18*'Tab H'!P53)</f>
        <v>22069.922173880401</v>
      </c>
      <c r="AF54" s="206">
        <f>ROUND($Y$4*'Tab H'!Q53,0)</f>
        <v>12023</v>
      </c>
      <c r="AG54" s="257">
        <f>ROUND($Y$4*'Tab H'!R53,0)</f>
        <v>24047</v>
      </c>
      <c r="AH54" s="258">
        <f>$AG54/4</f>
        <v>6011.75</v>
      </c>
      <c r="AI54" s="258">
        <f>$AG54/4</f>
        <v>6011.75</v>
      </c>
      <c r="AJ54" s="258"/>
      <c r="AK54" s="258"/>
      <c r="AL54" s="206">
        <v>0.13</v>
      </c>
      <c r="AM54" s="206">
        <v>0.13</v>
      </c>
      <c r="AN54" s="206">
        <v>0.13</v>
      </c>
      <c r="AO54" s="206">
        <v>0.13</v>
      </c>
      <c r="AP54" s="206">
        <v>0.13</v>
      </c>
      <c r="AQ54" s="206">
        <v>0.13</v>
      </c>
      <c r="AR54" s="206">
        <v>0.13</v>
      </c>
      <c r="AS54" s="260">
        <f t="shared" si="43"/>
        <v>0.13</v>
      </c>
      <c r="AT54" s="260">
        <f t="shared" si="44"/>
        <v>0.13</v>
      </c>
      <c r="AU54" s="260">
        <f t="shared" si="45"/>
        <v>0.13</v>
      </c>
      <c r="AV54" s="260">
        <f t="shared" si="46"/>
        <v>0.13</v>
      </c>
      <c r="AW54" s="260">
        <f t="shared" si="47"/>
        <v>0.13</v>
      </c>
      <c r="AX54" s="260">
        <f t="shared" si="48"/>
        <v>0.13</v>
      </c>
      <c r="AY54" s="256">
        <f t="shared" si="23"/>
        <v>2549.1492000000003</v>
      </c>
      <c r="AZ54" s="256">
        <f t="shared" si="24"/>
        <v>2549.1492000000003</v>
      </c>
      <c r="BA54" s="256">
        <f t="shared" si="25"/>
        <v>2625.6236759999997</v>
      </c>
      <c r="BB54" s="256">
        <f t="shared" si="26"/>
        <v>2704.3923862800002</v>
      </c>
      <c r="BC54" s="256">
        <f t="shared" si="27"/>
        <v>2785.5241578684004</v>
      </c>
      <c r="BD54" s="256">
        <f t="shared" si="28"/>
        <v>2869.0898826044522</v>
      </c>
      <c r="BE54" s="206">
        <f t="shared" si="29"/>
        <v>1563</v>
      </c>
      <c r="BF54" s="257">
        <f t="shared" si="49"/>
        <v>3126</v>
      </c>
      <c r="BG54" s="258">
        <f>$BF54/4</f>
        <v>781.5</v>
      </c>
      <c r="BH54" s="258">
        <f>$BF54/4</f>
        <v>781.5</v>
      </c>
      <c r="BI54" s="258"/>
      <c r="BJ54" s="258"/>
      <c r="BK54" s="260">
        <v>0.04</v>
      </c>
      <c r="BL54" s="256">
        <f>($BK$4*'Tab H'!K53)</f>
        <v>4357.5200000000004</v>
      </c>
      <c r="BM54" s="256">
        <f>($BK$4*'Tab H'!L53)</f>
        <v>4357.5200000000004</v>
      </c>
      <c r="BN54" s="256">
        <f>($BK$4*'Tab H'!M53)</f>
        <v>4488.2456000000002</v>
      </c>
      <c r="BO54" s="256">
        <f>($BK$4*'Tab H'!N53)</f>
        <v>4622.8929680000001</v>
      </c>
      <c r="BP54" s="256">
        <f>($BK$4*'Tab H'!O53)</f>
        <v>4761.5797570400009</v>
      </c>
      <c r="BQ54" s="256">
        <f>($BK$4*'Tab H'!P53)</f>
        <v>4904.4271497512009</v>
      </c>
      <c r="BR54" s="256">
        <f t="shared" si="31"/>
        <v>2544.5</v>
      </c>
      <c r="BS54" s="257">
        <f>ROUND($BK$4*'Tab H'!R53,0)</f>
        <v>5089</v>
      </c>
      <c r="BT54" s="258">
        <f>$BS54/4</f>
        <v>1272.25</v>
      </c>
      <c r="BU54" s="258">
        <f>$BS54/4</f>
        <v>1272.25</v>
      </c>
      <c r="BV54" s="258"/>
      <c r="BW54" s="258"/>
      <c r="BX54" s="255">
        <v>0.04</v>
      </c>
      <c r="CF54" s="260">
        <v>0.21</v>
      </c>
      <c r="CG54" s="256">
        <f>($CF$4*'Tab H'!K53)</f>
        <v>22876.98</v>
      </c>
      <c r="CH54" s="256">
        <f>($CF$4*'Tab H'!L53)</f>
        <v>22876.98</v>
      </c>
      <c r="CI54" s="256">
        <f>($CF$4*'Tab H'!M53)</f>
        <v>23563.289399999998</v>
      </c>
      <c r="CJ54" s="256">
        <f>($CF$4*'Tab H'!N53)</f>
        <v>24270.188082000001</v>
      </c>
      <c r="CK54" s="256">
        <f>($CF$4*'Tab H'!O53)</f>
        <v>24998.29372446</v>
      </c>
      <c r="CL54" s="256">
        <f>($CF$4*'Tab H'!P53)</f>
        <v>25748.2425361938</v>
      </c>
      <c r="CM54" s="206">
        <f>ROUND($CF$4*'Tab H'!Q53,0)</f>
        <v>13359</v>
      </c>
      <c r="CN54" s="257">
        <f>ROUND($CF$4*'Tab H'!R53,0)</f>
        <v>26719</v>
      </c>
      <c r="CO54" s="258">
        <f>$CN54/4</f>
        <v>6679.75</v>
      </c>
      <c r="CP54" s="258">
        <f>$CN54/4</f>
        <v>6679.75</v>
      </c>
      <c r="CQ54" s="258"/>
      <c r="CR54" s="258"/>
      <c r="CS54" s="206">
        <v>3.7999999999999999E-2</v>
      </c>
      <c r="CT54" s="206">
        <v>3.7999999999999999E-2</v>
      </c>
      <c r="CU54" s="206">
        <v>3.7999999999999999E-2</v>
      </c>
      <c r="CV54" s="206">
        <v>3.7999999999999999E-2</v>
      </c>
      <c r="CW54" s="206">
        <v>3.7999999999999999E-2</v>
      </c>
      <c r="CX54" s="206">
        <v>3.7999999999999999E-2</v>
      </c>
      <c r="CY54" s="206">
        <v>3.7999999999999999E-2</v>
      </c>
      <c r="CZ54" s="259">
        <f t="shared" si="50"/>
        <v>3.7999999999999999E-2</v>
      </c>
      <c r="DA54" s="259">
        <f t="shared" si="51"/>
        <v>3.7999999999999999E-2</v>
      </c>
      <c r="DB54" s="259">
        <f t="shared" si="52"/>
        <v>3.7999999999999999E-2</v>
      </c>
      <c r="DC54" s="259">
        <f t="shared" si="53"/>
        <v>3.7999999999999999E-2</v>
      </c>
      <c r="DD54" s="259">
        <f t="shared" si="54"/>
        <v>3.7999999999999999E-2</v>
      </c>
      <c r="DE54" s="259">
        <f t="shared" si="55"/>
        <v>3.7999999999999999E-2</v>
      </c>
      <c r="DF54" s="256">
        <f t="shared" si="34"/>
        <v>869.32524000000001</v>
      </c>
      <c r="DG54" s="256">
        <f t="shared" si="35"/>
        <v>869.32524000000001</v>
      </c>
      <c r="DH54" s="256">
        <f t="shared" si="36"/>
        <v>895.40499719999991</v>
      </c>
      <c r="DI54" s="256">
        <f t="shared" si="37"/>
        <v>922.26714711600005</v>
      </c>
      <c r="DJ54" s="256">
        <f t="shared" si="38"/>
        <v>949.93516152947996</v>
      </c>
      <c r="DK54" s="256">
        <f t="shared" si="39"/>
        <v>978.4332163753644</v>
      </c>
      <c r="DL54" s="206">
        <f t="shared" si="40"/>
        <v>508</v>
      </c>
      <c r="DM54" s="257">
        <f t="shared" si="56"/>
        <v>1015</v>
      </c>
      <c r="DN54" s="258">
        <f>$DM54/4</f>
        <v>253.75</v>
      </c>
      <c r="DO54" s="258">
        <f>$DM54/4</f>
        <v>253.75</v>
      </c>
      <c r="DP54" s="258"/>
      <c r="DQ54" s="258"/>
    </row>
    <row r="55" spans="1:121" x14ac:dyDescent="0.3">
      <c r="A55" s="750"/>
      <c r="B55" s="205" t="s">
        <v>184</v>
      </c>
      <c r="C55" s="206">
        <v>17</v>
      </c>
      <c r="D55" s="255">
        <v>3.49E-2</v>
      </c>
      <c r="E55" s="256">
        <f>($D$4*'Tab H'!K54)</f>
        <v>3235.4045000000001</v>
      </c>
      <c r="F55" s="256">
        <f>($D$4*'Tab H'!L54)</f>
        <v>3235.4045000000001</v>
      </c>
      <c r="G55" s="256">
        <f>($D$4*'Tab H'!M54)</f>
        <v>3332.4666350000002</v>
      </c>
      <c r="H55" s="256">
        <f>($D$4*'Tab H'!N54)</f>
        <v>3432.4406340500004</v>
      </c>
      <c r="I55" s="256">
        <f>($D$4*'Tab H'!O54)</f>
        <v>3535.4138530715004</v>
      </c>
      <c r="J55" s="256">
        <f>($D$4*'Tab H'!P54)</f>
        <v>3641.4762686636454</v>
      </c>
      <c r="K55" s="206">
        <f>ROUND($D$4*'Tab H'!Q54,0)</f>
        <v>1727</v>
      </c>
      <c r="L55" s="257">
        <f>ROUND($D$4*'Tab H'!R54,0)</f>
        <v>3453</v>
      </c>
      <c r="M55" s="258">
        <f t="shared" si="58"/>
        <v>863.25</v>
      </c>
      <c r="N55" s="258">
        <f t="shared" si="58"/>
        <v>863.25</v>
      </c>
      <c r="O55" s="258"/>
      <c r="P55" s="258"/>
      <c r="Q55" s="255">
        <v>3.49E-2</v>
      </c>
      <c r="Y55" s="259">
        <v>0.189</v>
      </c>
      <c r="Z55" s="256">
        <f>(0.18*'Tab H'!K54)</f>
        <v>16686.899999999998</v>
      </c>
      <c r="AA55" s="256">
        <f>(0.18*'Tab H'!L54)</f>
        <v>16686.899999999998</v>
      </c>
      <c r="AB55" s="256">
        <f>(0.18*'Tab H'!M54)</f>
        <v>17187.507000000001</v>
      </c>
      <c r="AC55" s="256">
        <f>(0.18*'Tab H'!N54)</f>
        <v>17703.13221</v>
      </c>
      <c r="AD55" s="256">
        <f>(0.18*'Tab H'!O54)</f>
        <v>18234.226176300002</v>
      </c>
      <c r="AE55" s="256">
        <f>(0.18*'Tab H'!P54)</f>
        <v>18781.252961589002</v>
      </c>
      <c r="AF55" s="206">
        <f>ROUND($Y$4*'Tab H'!Q54,0)</f>
        <v>9351</v>
      </c>
      <c r="AG55" s="257">
        <f>ROUND($Y$4*'Tab H'!R54,0)</f>
        <v>18702</v>
      </c>
      <c r="AH55" s="258">
        <f>$AG55/4</f>
        <v>4675.5</v>
      </c>
      <c r="AI55" s="258">
        <f>$AG55/4</f>
        <v>4675.5</v>
      </c>
      <c r="AJ55" s="258"/>
      <c r="AK55" s="258"/>
      <c r="AL55" s="206">
        <v>0.13</v>
      </c>
      <c r="AM55" s="206">
        <v>0.13</v>
      </c>
      <c r="AN55" s="206">
        <v>0.13</v>
      </c>
      <c r="AO55" s="206">
        <v>0.13</v>
      </c>
      <c r="AP55" s="206">
        <v>0.13</v>
      </c>
      <c r="AQ55" s="206">
        <v>0.13</v>
      </c>
      <c r="AR55" s="206">
        <v>0.13</v>
      </c>
      <c r="AS55" s="260">
        <f t="shared" si="43"/>
        <v>0.13</v>
      </c>
      <c r="AT55" s="260">
        <f t="shared" si="44"/>
        <v>0.13</v>
      </c>
      <c r="AU55" s="260">
        <f t="shared" si="45"/>
        <v>0.13</v>
      </c>
      <c r="AV55" s="260">
        <f t="shared" si="46"/>
        <v>0.13</v>
      </c>
      <c r="AW55" s="260">
        <f t="shared" si="47"/>
        <v>0.13</v>
      </c>
      <c r="AX55" s="260">
        <f t="shared" si="48"/>
        <v>0.13</v>
      </c>
      <c r="AY55" s="256">
        <f t="shared" si="23"/>
        <v>2169.2969999999996</v>
      </c>
      <c r="AZ55" s="256">
        <f t="shared" si="24"/>
        <v>2169.2969999999996</v>
      </c>
      <c r="BA55" s="256">
        <f t="shared" si="25"/>
        <v>2234.3759100000002</v>
      </c>
      <c r="BB55" s="256">
        <f t="shared" si="26"/>
        <v>2301.4071873000003</v>
      </c>
      <c r="BC55" s="256">
        <f t="shared" si="27"/>
        <v>2370.4494029190005</v>
      </c>
      <c r="BD55" s="256">
        <f t="shared" si="28"/>
        <v>2441.5628850065705</v>
      </c>
      <c r="BE55" s="206">
        <f t="shared" si="29"/>
        <v>1216</v>
      </c>
      <c r="BF55" s="257">
        <f t="shared" si="49"/>
        <v>2431</v>
      </c>
      <c r="BG55" s="258">
        <f>$BF55/4</f>
        <v>607.75</v>
      </c>
      <c r="BH55" s="258">
        <f>$BF55/4</f>
        <v>607.75</v>
      </c>
      <c r="BI55" s="258"/>
      <c r="BJ55" s="258"/>
      <c r="BK55" s="260">
        <v>0.04</v>
      </c>
      <c r="BL55" s="256">
        <f>($BK$4*'Tab H'!K54)</f>
        <v>3708.2000000000003</v>
      </c>
      <c r="BM55" s="256">
        <f>($BK$4*'Tab H'!L54)</f>
        <v>3708.2000000000003</v>
      </c>
      <c r="BN55" s="256">
        <f>($BK$4*'Tab H'!M54)</f>
        <v>3819.4460000000004</v>
      </c>
      <c r="BO55" s="256">
        <f>($BK$4*'Tab H'!N54)</f>
        <v>3934.0293800000004</v>
      </c>
      <c r="BP55" s="256">
        <f>($BK$4*'Tab H'!O54)</f>
        <v>4052.0502614000002</v>
      </c>
      <c r="BQ55" s="256">
        <f>($BK$4*'Tab H'!P54)</f>
        <v>4173.6117692420003</v>
      </c>
      <c r="BR55" s="256">
        <f t="shared" si="31"/>
        <v>1979</v>
      </c>
      <c r="BS55" s="257">
        <f>ROUND($BK$4*'Tab H'!R54,0)</f>
        <v>3958</v>
      </c>
      <c r="BT55" s="258">
        <f>$BS55/4</f>
        <v>989.5</v>
      </c>
      <c r="BU55" s="258">
        <f>$BS55/4</f>
        <v>989.5</v>
      </c>
      <c r="BV55" s="258"/>
      <c r="BW55" s="258"/>
      <c r="BX55" s="255">
        <v>0.04</v>
      </c>
      <c r="CF55" s="260">
        <v>0.21</v>
      </c>
      <c r="CG55" s="256">
        <f>($CF$4*'Tab H'!K54)</f>
        <v>19468.05</v>
      </c>
      <c r="CH55" s="256">
        <f>($CF$4*'Tab H'!L54)</f>
        <v>19468.05</v>
      </c>
      <c r="CI55" s="256">
        <f>($CF$4*'Tab H'!M54)</f>
        <v>20052.091500000002</v>
      </c>
      <c r="CJ55" s="256">
        <f>($CF$4*'Tab H'!N54)</f>
        <v>20653.654245000002</v>
      </c>
      <c r="CK55" s="256">
        <f>($CF$4*'Tab H'!O54)</f>
        <v>21273.263872350002</v>
      </c>
      <c r="CL55" s="256">
        <f>($CF$4*'Tab H'!P54)</f>
        <v>21911.461788520501</v>
      </c>
      <c r="CM55" s="206">
        <f>ROUND($CF$4*'Tab H'!Q54,0)</f>
        <v>10390</v>
      </c>
      <c r="CN55" s="257">
        <f>ROUND($CF$4*'Tab H'!R54,0)</f>
        <v>20780</v>
      </c>
      <c r="CO55" s="258">
        <f>$CN55/4</f>
        <v>5195</v>
      </c>
      <c r="CP55" s="258">
        <f>$CN55/4</f>
        <v>5195</v>
      </c>
      <c r="CQ55" s="258"/>
      <c r="CR55" s="258"/>
      <c r="CS55" s="206">
        <v>3.7999999999999999E-2</v>
      </c>
      <c r="CT55" s="206">
        <v>3.7999999999999999E-2</v>
      </c>
      <c r="CU55" s="206">
        <v>3.7999999999999999E-2</v>
      </c>
      <c r="CV55" s="206">
        <v>3.7999999999999999E-2</v>
      </c>
      <c r="CW55" s="206">
        <v>3.7999999999999999E-2</v>
      </c>
      <c r="CX55" s="206">
        <v>3.7999999999999999E-2</v>
      </c>
      <c r="CY55" s="206">
        <v>3.7999999999999999E-2</v>
      </c>
      <c r="CZ55" s="259">
        <f t="shared" si="50"/>
        <v>3.7999999999999999E-2</v>
      </c>
      <c r="DA55" s="259">
        <f t="shared" si="51"/>
        <v>3.7999999999999999E-2</v>
      </c>
      <c r="DB55" s="259">
        <f t="shared" si="52"/>
        <v>3.7999999999999999E-2</v>
      </c>
      <c r="DC55" s="259">
        <f t="shared" si="53"/>
        <v>3.7999999999999999E-2</v>
      </c>
      <c r="DD55" s="259">
        <f t="shared" si="54"/>
        <v>3.7999999999999999E-2</v>
      </c>
      <c r="DE55" s="259">
        <f t="shared" si="55"/>
        <v>3.7999999999999999E-2</v>
      </c>
      <c r="DF55" s="256">
        <f t="shared" si="34"/>
        <v>739.78589999999997</v>
      </c>
      <c r="DG55" s="256">
        <f t="shared" si="35"/>
        <v>739.78589999999997</v>
      </c>
      <c r="DH55" s="256">
        <f t="shared" si="36"/>
        <v>761.97947700000009</v>
      </c>
      <c r="DI55" s="256">
        <f t="shared" si="37"/>
        <v>784.83886131000008</v>
      </c>
      <c r="DJ55" s="256">
        <f t="shared" si="38"/>
        <v>808.3840271493001</v>
      </c>
      <c r="DK55" s="256">
        <f t="shared" si="39"/>
        <v>832.635547963779</v>
      </c>
      <c r="DL55" s="206">
        <f t="shared" si="40"/>
        <v>395</v>
      </c>
      <c r="DM55" s="257">
        <f t="shared" si="56"/>
        <v>790</v>
      </c>
      <c r="DN55" s="258">
        <f>$DM55/4</f>
        <v>197.5</v>
      </c>
      <c r="DO55" s="258">
        <f>$DM55/4</f>
        <v>197.5</v>
      </c>
      <c r="DP55" s="258"/>
      <c r="DQ55" s="258"/>
    </row>
    <row r="56" spans="1:121" s="202" customFormat="1" x14ac:dyDescent="0.3">
      <c r="A56" s="749" t="s">
        <v>591</v>
      </c>
      <c r="B56" s="465" t="s">
        <v>593</v>
      </c>
      <c r="C56" s="461">
        <v>18</v>
      </c>
      <c r="D56" s="452">
        <v>3.49E-2</v>
      </c>
      <c r="E56" s="256">
        <f>($D$4*'Tab H'!K55)</f>
        <v>2916.8722000000002</v>
      </c>
      <c r="F56" s="256">
        <f>($D$4*'Tab H'!L55)</f>
        <v>2916.8722000000002</v>
      </c>
      <c r="G56" s="256">
        <f>($D$4*'Tab H'!M55)</f>
        <v>3004.3783659999999</v>
      </c>
      <c r="H56" s="256">
        <f>($D$4*'Tab H'!N55)</f>
        <v>1547.2548584900001</v>
      </c>
      <c r="I56" s="256">
        <f>($D$4*'Tab H'!O55)</f>
        <v>0</v>
      </c>
      <c r="J56" s="256">
        <f>($D$4*'Tab H'!P55)</f>
        <v>0</v>
      </c>
      <c r="K56" s="480">
        <f>ROUND($D$4*'Tab H'!Q55,0)</f>
        <v>0</v>
      </c>
      <c r="L56" s="257">
        <f>ROUND($D$4*'Tab H'!R55,0)</f>
        <v>0</v>
      </c>
      <c r="M56" s="258">
        <f t="shared" si="58"/>
        <v>0</v>
      </c>
      <c r="N56" s="258">
        <f t="shared" si="58"/>
        <v>0</v>
      </c>
      <c r="O56" s="258"/>
      <c r="P56" s="258"/>
      <c r="Q56" s="452">
        <v>3.49E-2</v>
      </c>
      <c r="R56" s="451"/>
      <c r="S56" s="451"/>
      <c r="T56" s="517"/>
      <c r="U56" s="451"/>
      <c r="V56" s="451"/>
      <c r="W56" s="451"/>
      <c r="X56" s="453"/>
      <c r="Y56" s="452">
        <v>0.18</v>
      </c>
      <c r="Z56" s="256">
        <f>(0.18*'Tab H'!K55)</f>
        <v>15044.039999999999</v>
      </c>
      <c r="AA56" s="256">
        <f>(0.18*'Tab H'!L55)</f>
        <v>15044.039999999999</v>
      </c>
      <c r="AB56" s="256">
        <f>(0.18*'Tab H'!M55)</f>
        <v>15495.361199999999</v>
      </c>
      <c r="AC56" s="256">
        <f>(0.18*'Tab H'!N55)</f>
        <v>7980.1110179999996</v>
      </c>
      <c r="AD56" s="256">
        <f>(0.18*'Tab H'!O55)</f>
        <v>0</v>
      </c>
      <c r="AE56" s="256">
        <f>(0.18*'Tab H'!P55)</f>
        <v>0</v>
      </c>
      <c r="AF56" s="480">
        <f>ROUND($Y$4*'Tab H'!Q55,0)</f>
        <v>0</v>
      </c>
      <c r="AG56" s="257">
        <f>ROUND($Y$4*'Tab H'!R55,0)</f>
        <v>0</v>
      </c>
      <c r="AH56" s="258">
        <f t="shared" ref="AH56:AI59" si="59">$AG56/4</f>
        <v>0</v>
      </c>
      <c r="AI56" s="258">
        <f t="shared" si="59"/>
        <v>0</v>
      </c>
      <c r="AJ56" s="258"/>
      <c r="AK56" s="258"/>
      <c r="AL56" s="452">
        <v>0.12</v>
      </c>
      <c r="AM56" s="452">
        <v>0.12</v>
      </c>
      <c r="AN56" s="452">
        <v>0.12</v>
      </c>
      <c r="AO56" s="452">
        <v>0.12</v>
      </c>
      <c r="AP56" s="452">
        <v>0.12</v>
      </c>
      <c r="AQ56" s="452">
        <v>0.12</v>
      </c>
      <c r="AR56" s="452">
        <v>0.12</v>
      </c>
      <c r="AS56" s="260">
        <f t="shared" si="43"/>
        <v>0.12</v>
      </c>
      <c r="AT56" s="260">
        <f t="shared" si="44"/>
        <v>0.12</v>
      </c>
      <c r="AU56" s="260">
        <f t="shared" si="45"/>
        <v>0.12</v>
      </c>
      <c r="AV56" s="260">
        <f t="shared" si="46"/>
        <v>0.12</v>
      </c>
      <c r="AW56" s="260">
        <f t="shared" si="47"/>
        <v>0.12</v>
      </c>
      <c r="AX56" s="260">
        <f t="shared" si="47"/>
        <v>0.12</v>
      </c>
      <c r="AY56" s="256">
        <f t="shared" si="23"/>
        <v>1805.2847999999999</v>
      </c>
      <c r="AZ56" s="256">
        <f t="shared" si="24"/>
        <v>1805.2847999999999</v>
      </c>
      <c r="BA56" s="256">
        <f t="shared" si="25"/>
        <v>1859.4433439999998</v>
      </c>
      <c r="BB56" s="256">
        <f t="shared" si="26"/>
        <v>957.61332215999994</v>
      </c>
      <c r="BC56" s="256">
        <f t="shared" si="27"/>
        <v>0</v>
      </c>
      <c r="BD56" s="256">
        <f t="shared" si="28"/>
        <v>0</v>
      </c>
      <c r="BE56" s="480">
        <f t="shared" si="29"/>
        <v>0</v>
      </c>
      <c r="BF56" s="257">
        <f t="shared" ref="BF56:BF59" si="60">ROUND(AG56*AX56,0)</f>
        <v>0</v>
      </c>
      <c r="BG56" s="258">
        <f t="shared" ref="BG56:BH59" si="61">$BF56/4</f>
        <v>0</v>
      </c>
      <c r="BH56" s="258">
        <f t="shared" si="61"/>
        <v>0</v>
      </c>
      <c r="BI56" s="258"/>
      <c r="BJ56" s="258"/>
      <c r="BK56" s="452">
        <v>0.04</v>
      </c>
      <c r="BL56" s="256">
        <f>($BK$4*'Tab H'!K55)</f>
        <v>3343.12</v>
      </c>
      <c r="BM56" s="256">
        <f>($BK$4*'Tab H'!L55)</f>
        <v>3343.12</v>
      </c>
      <c r="BN56" s="256">
        <f>($BK$4*'Tab H'!M55)</f>
        <v>3443.4135999999999</v>
      </c>
      <c r="BO56" s="256">
        <f>($BK$4*'Tab H'!N55)</f>
        <v>1773.3580040000002</v>
      </c>
      <c r="BP56" s="256">
        <f>($BK$4*'Tab H'!O55)</f>
        <v>0</v>
      </c>
      <c r="BQ56" s="256">
        <f>($BK$4*'Tab H'!P55)</f>
        <v>0</v>
      </c>
      <c r="BR56" s="256">
        <f t="shared" ref="BR56:BR59" si="62">SUM(BT56:BW56)</f>
        <v>0</v>
      </c>
      <c r="BS56" s="257">
        <f>ROUND($BK$4*'Tab H'!R55,0)</f>
        <v>0</v>
      </c>
      <c r="BT56" s="258">
        <f t="shared" ref="BT56:BU59" si="63">$BS56/4</f>
        <v>0</v>
      </c>
      <c r="BU56" s="258">
        <f t="shared" si="63"/>
        <v>0</v>
      </c>
      <c r="BV56" s="258"/>
      <c r="BW56" s="258"/>
      <c r="BX56" s="452">
        <v>3.49E-2</v>
      </c>
      <c r="BY56" s="451"/>
      <c r="BZ56" s="451"/>
      <c r="CA56" s="256"/>
      <c r="CB56" s="480"/>
      <c r="CC56" s="480"/>
      <c r="CD56" s="480"/>
      <c r="CE56" s="480"/>
      <c r="CF56" s="452">
        <v>0.21</v>
      </c>
      <c r="CG56" s="256">
        <f>($CF$4*'Tab H'!K55)</f>
        <v>17551.38</v>
      </c>
      <c r="CH56" s="256">
        <f>($CF$4*'Tab H'!L55)</f>
        <v>17551.38</v>
      </c>
      <c r="CI56" s="256">
        <f>($CF$4*'Tab H'!M55)</f>
        <v>18077.921399999999</v>
      </c>
      <c r="CJ56" s="256">
        <f>($CF$4*'Tab H'!N55)</f>
        <v>9310.1295210000008</v>
      </c>
      <c r="CK56" s="256">
        <f>($CF$4*'Tab H'!O55)</f>
        <v>0</v>
      </c>
      <c r="CL56" s="256">
        <f>($CF$4*'Tab H'!P55)</f>
        <v>0</v>
      </c>
      <c r="CM56" s="480">
        <f>ROUND($CF$4*'Tab H'!Q55,0)</f>
        <v>0</v>
      </c>
      <c r="CN56" s="257">
        <f>ROUND($CF$4*'Tab H'!R55,0)</f>
        <v>0</v>
      </c>
      <c r="CO56" s="258">
        <f t="shared" ref="CO56:CP59" si="64">$CN56/4</f>
        <v>0</v>
      </c>
      <c r="CP56" s="258">
        <f t="shared" si="64"/>
        <v>0</v>
      </c>
      <c r="CQ56" s="258"/>
      <c r="CR56" s="258"/>
      <c r="CS56" s="452">
        <v>3.7999999999999999E-2</v>
      </c>
      <c r="CT56" s="452">
        <v>3.7999999999999999E-2</v>
      </c>
      <c r="CU56" s="452">
        <v>3.7999999999999999E-2</v>
      </c>
      <c r="CV56" s="452">
        <v>3.7999999999999999E-2</v>
      </c>
      <c r="CW56" s="452">
        <v>3.7999999999999999E-2</v>
      </c>
      <c r="CX56" s="452">
        <v>3.7999999999999999E-2</v>
      </c>
      <c r="CY56" s="452">
        <v>3.7999999999999999E-2</v>
      </c>
      <c r="CZ56" s="459">
        <f t="shared" si="50"/>
        <v>3.7999999999999999E-2</v>
      </c>
      <c r="DA56" s="459">
        <f t="shared" si="51"/>
        <v>3.7999999999999999E-2</v>
      </c>
      <c r="DB56" s="459">
        <f t="shared" si="52"/>
        <v>3.7999999999999999E-2</v>
      </c>
      <c r="DC56" s="459">
        <f t="shared" si="53"/>
        <v>3.7999999999999999E-2</v>
      </c>
      <c r="DD56" s="459">
        <f t="shared" si="54"/>
        <v>3.7999999999999999E-2</v>
      </c>
      <c r="DE56" s="452"/>
      <c r="DF56" s="256">
        <f t="shared" si="34"/>
        <v>666.95244000000002</v>
      </c>
      <c r="DG56" s="256">
        <f t="shared" si="35"/>
        <v>666.95244000000002</v>
      </c>
      <c r="DH56" s="256">
        <f t="shared" si="36"/>
        <v>686.96101319999991</v>
      </c>
      <c r="DI56" s="256">
        <f t="shared" si="37"/>
        <v>353.78492179800003</v>
      </c>
      <c r="DJ56" s="256">
        <f t="shared" si="38"/>
        <v>0</v>
      </c>
      <c r="DK56" s="256">
        <f t="shared" si="39"/>
        <v>0</v>
      </c>
      <c r="DL56" s="480">
        <f t="shared" ref="DL56:DL59" si="65">ROUND(CM56*DE56,0)</f>
        <v>0</v>
      </c>
      <c r="DM56" s="257">
        <f t="shared" ref="DM56:DM59" si="66">ROUND(CN56*DE56,0)</f>
        <v>0</v>
      </c>
      <c r="DN56" s="258">
        <f t="shared" ref="DN56:DO59" si="67">$DM56/4</f>
        <v>0</v>
      </c>
      <c r="DO56" s="258">
        <f t="shared" si="67"/>
        <v>0</v>
      </c>
      <c r="DP56" s="258"/>
      <c r="DQ56" s="258"/>
    </row>
    <row r="57" spans="1:121" s="202" customFormat="1" x14ac:dyDescent="0.3">
      <c r="A57" s="750"/>
      <c r="B57" s="465" t="s">
        <v>594</v>
      </c>
      <c r="C57" s="463">
        <v>16</v>
      </c>
      <c r="D57" s="452">
        <v>3.49E-2</v>
      </c>
      <c r="E57" s="256">
        <f>($D$4*'Tab H'!K56)</f>
        <v>7047.4616999999998</v>
      </c>
      <c r="F57" s="256">
        <f>($D$4*'Tab H'!L56)</f>
        <v>7047.4616999999998</v>
      </c>
      <c r="G57" s="256">
        <f>($D$4*'Tab H'!M56)</f>
        <v>7258.8855510000012</v>
      </c>
      <c r="H57" s="256">
        <f>($D$4*'Tab H'!N56)</f>
        <v>0</v>
      </c>
      <c r="I57" s="256">
        <f>($D$4*'Tab H'!O56)</f>
        <v>0</v>
      </c>
      <c r="J57" s="256">
        <f>($D$4*'Tab H'!P56)</f>
        <v>0</v>
      </c>
      <c r="K57" s="480">
        <f>ROUND($D$4*'Tab H'!Q56,0)</f>
        <v>0</v>
      </c>
      <c r="L57" s="257">
        <f>ROUND($D$4*'Tab H'!R56,0)</f>
        <v>0</v>
      </c>
      <c r="M57" s="258">
        <f t="shared" si="58"/>
        <v>0</v>
      </c>
      <c r="N57" s="258">
        <f t="shared" si="58"/>
        <v>0</v>
      </c>
      <c r="O57" s="258"/>
      <c r="P57" s="258"/>
      <c r="Q57" s="452">
        <v>3.49E-2</v>
      </c>
      <c r="R57" s="451"/>
      <c r="S57" s="451"/>
      <c r="T57" s="517"/>
      <c r="U57" s="451"/>
      <c r="V57" s="451"/>
      <c r="W57" s="451"/>
      <c r="X57" s="453"/>
      <c r="Y57" s="452">
        <v>0.18</v>
      </c>
      <c r="Z57" s="256">
        <f>(0.18*'Tab H'!K56)</f>
        <v>36347.939999999995</v>
      </c>
      <c r="AA57" s="256">
        <f>(0.18*'Tab H'!L56)</f>
        <v>36347.939999999995</v>
      </c>
      <c r="AB57" s="256">
        <f>(0.18*'Tab H'!M56)</f>
        <v>37438.378199999999</v>
      </c>
      <c r="AC57" s="256">
        <f>(0.18*'Tab H'!N56)</f>
        <v>0</v>
      </c>
      <c r="AD57" s="256">
        <f>(0.18*'Tab H'!O56)</f>
        <v>0</v>
      </c>
      <c r="AE57" s="256">
        <f>(0.18*'Tab H'!P56)</f>
        <v>0</v>
      </c>
      <c r="AF57" s="480">
        <f>ROUND($Y$4*'Tab H'!Q56,0)</f>
        <v>0</v>
      </c>
      <c r="AG57" s="257">
        <f>ROUND($Y$4*'Tab H'!R56,0)</f>
        <v>0</v>
      </c>
      <c r="AH57" s="258">
        <f t="shared" si="59"/>
        <v>0</v>
      </c>
      <c r="AI57" s="258">
        <f t="shared" si="59"/>
        <v>0</v>
      </c>
      <c r="AJ57" s="258"/>
      <c r="AK57" s="258"/>
      <c r="AL57" s="452">
        <v>0.12</v>
      </c>
      <c r="AM57" s="452">
        <v>0.12</v>
      </c>
      <c r="AN57" s="452">
        <v>0.12</v>
      </c>
      <c r="AO57" s="452">
        <v>0.12</v>
      </c>
      <c r="AP57" s="452">
        <v>0.12</v>
      </c>
      <c r="AQ57" s="452">
        <v>0.12</v>
      </c>
      <c r="AR57" s="452">
        <v>0.12</v>
      </c>
      <c r="AS57" s="260">
        <f t="shared" si="43"/>
        <v>0.12</v>
      </c>
      <c r="AT57" s="260">
        <f t="shared" si="44"/>
        <v>0.12</v>
      </c>
      <c r="AU57" s="260">
        <f t="shared" si="45"/>
        <v>0.12</v>
      </c>
      <c r="AV57" s="260">
        <f t="shared" si="46"/>
        <v>0.12</v>
      </c>
      <c r="AW57" s="260">
        <f t="shared" si="47"/>
        <v>0.12</v>
      </c>
      <c r="AX57" s="260">
        <f t="shared" si="47"/>
        <v>0.12</v>
      </c>
      <c r="AY57" s="256">
        <f t="shared" si="23"/>
        <v>4361.7527999999993</v>
      </c>
      <c r="AZ57" s="256">
        <f t="shared" si="24"/>
        <v>4361.7527999999993</v>
      </c>
      <c r="BA57" s="256">
        <f t="shared" si="25"/>
        <v>4492.6053839999995</v>
      </c>
      <c r="BB57" s="256">
        <f t="shared" si="26"/>
        <v>0</v>
      </c>
      <c r="BC57" s="256">
        <f t="shared" si="27"/>
        <v>0</v>
      </c>
      <c r="BD57" s="256">
        <f t="shared" si="28"/>
        <v>0</v>
      </c>
      <c r="BE57" s="480">
        <f t="shared" si="29"/>
        <v>0</v>
      </c>
      <c r="BF57" s="257">
        <f t="shared" si="60"/>
        <v>0</v>
      </c>
      <c r="BG57" s="258">
        <f t="shared" si="61"/>
        <v>0</v>
      </c>
      <c r="BH57" s="258">
        <f t="shared" si="61"/>
        <v>0</v>
      </c>
      <c r="BI57" s="258"/>
      <c r="BJ57" s="258"/>
      <c r="BK57" s="452">
        <v>0.04</v>
      </c>
      <c r="BL57" s="256">
        <f>($BK$4*'Tab H'!K56)</f>
        <v>8077.3200000000006</v>
      </c>
      <c r="BM57" s="256">
        <f>($BK$4*'Tab H'!L56)</f>
        <v>8077.3200000000006</v>
      </c>
      <c r="BN57" s="256">
        <f>($BK$4*'Tab H'!M56)</f>
        <v>8319.6396000000004</v>
      </c>
      <c r="BO57" s="256">
        <f>($BK$4*'Tab H'!N56)</f>
        <v>0</v>
      </c>
      <c r="BP57" s="256">
        <f>($BK$4*'Tab H'!O56)</f>
        <v>0</v>
      </c>
      <c r="BQ57" s="256">
        <f>($BK$4*'Tab H'!P56)</f>
        <v>0</v>
      </c>
      <c r="BR57" s="256">
        <f t="shared" si="62"/>
        <v>0</v>
      </c>
      <c r="BS57" s="257">
        <f>ROUND($BK$4*'Tab H'!R56,0)</f>
        <v>0</v>
      </c>
      <c r="BT57" s="258">
        <f t="shared" si="63"/>
        <v>0</v>
      </c>
      <c r="BU57" s="258">
        <f t="shared" si="63"/>
        <v>0</v>
      </c>
      <c r="BV57" s="258"/>
      <c r="BW57" s="258"/>
      <c r="BX57" s="452">
        <v>3.49E-2</v>
      </c>
      <c r="BY57" s="451"/>
      <c r="BZ57" s="451"/>
      <c r="CA57" s="256"/>
      <c r="CB57" s="480"/>
      <c r="CC57" s="480"/>
      <c r="CD57" s="480"/>
      <c r="CE57" s="480"/>
      <c r="CF57" s="452">
        <v>0.21</v>
      </c>
      <c r="CG57" s="256">
        <f>($CF$4*'Tab H'!K56)</f>
        <v>42405.93</v>
      </c>
      <c r="CH57" s="256">
        <f>($CF$4*'Tab H'!L56)</f>
        <v>42405.93</v>
      </c>
      <c r="CI57" s="256">
        <f>($CF$4*'Tab H'!M56)</f>
        <v>43678.107900000003</v>
      </c>
      <c r="CJ57" s="256">
        <f>($CF$4*'Tab H'!N56)</f>
        <v>0</v>
      </c>
      <c r="CK57" s="256">
        <f>($CF$4*'Tab H'!O56)</f>
        <v>0</v>
      </c>
      <c r="CL57" s="256">
        <f>($CF$4*'Tab H'!P56)</f>
        <v>0</v>
      </c>
      <c r="CM57" s="480">
        <f>ROUND($CF$4*'Tab H'!Q56,0)</f>
        <v>0</v>
      </c>
      <c r="CN57" s="257">
        <f>ROUND($CF$4*'Tab H'!R56,0)</f>
        <v>0</v>
      </c>
      <c r="CO57" s="258">
        <f t="shared" si="64"/>
        <v>0</v>
      </c>
      <c r="CP57" s="258">
        <f t="shared" si="64"/>
        <v>0</v>
      </c>
      <c r="CQ57" s="258"/>
      <c r="CR57" s="258"/>
      <c r="CS57" s="452">
        <v>3.7999999999999999E-2</v>
      </c>
      <c r="CT57" s="452">
        <v>3.7999999999999999E-2</v>
      </c>
      <c r="CU57" s="452">
        <v>3.7999999999999999E-2</v>
      </c>
      <c r="CV57" s="452">
        <v>3.7999999999999999E-2</v>
      </c>
      <c r="CW57" s="452">
        <v>3.7999999999999999E-2</v>
      </c>
      <c r="CX57" s="452">
        <v>3.7999999999999999E-2</v>
      </c>
      <c r="CY57" s="452">
        <v>3.7999999999999999E-2</v>
      </c>
      <c r="CZ57" s="459">
        <f t="shared" si="50"/>
        <v>3.7999999999999999E-2</v>
      </c>
      <c r="DA57" s="459">
        <f t="shared" si="51"/>
        <v>3.7999999999999999E-2</v>
      </c>
      <c r="DB57" s="459">
        <f t="shared" si="52"/>
        <v>3.7999999999999999E-2</v>
      </c>
      <c r="DC57" s="459">
        <f t="shared" si="53"/>
        <v>3.7999999999999999E-2</v>
      </c>
      <c r="DD57" s="459">
        <f t="shared" si="54"/>
        <v>3.7999999999999999E-2</v>
      </c>
      <c r="DE57" s="452"/>
      <c r="DF57" s="256">
        <f t="shared" si="34"/>
        <v>1611.42534</v>
      </c>
      <c r="DG57" s="256">
        <f t="shared" si="35"/>
        <v>1611.42534</v>
      </c>
      <c r="DH57" s="256">
        <f t="shared" si="36"/>
        <v>1659.7681002000002</v>
      </c>
      <c r="DI57" s="256">
        <f t="shared" si="37"/>
        <v>0</v>
      </c>
      <c r="DJ57" s="256">
        <f t="shared" si="38"/>
        <v>0</v>
      </c>
      <c r="DK57" s="256">
        <f t="shared" si="39"/>
        <v>0</v>
      </c>
      <c r="DL57" s="480">
        <f t="shared" si="65"/>
        <v>0</v>
      </c>
      <c r="DM57" s="257">
        <f t="shared" si="66"/>
        <v>0</v>
      </c>
      <c r="DN57" s="258">
        <f t="shared" si="67"/>
        <v>0</v>
      </c>
      <c r="DO57" s="258">
        <f t="shared" si="67"/>
        <v>0</v>
      </c>
      <c r="DP57" s="258"/>
      <c r="DQ57" s="258"/>
    </row>
    <row r="58" spans="1:121" s="202" customFormat="1" x14ac:dyDescent="0.3">
      <c r="A58" s="751"/>
      <c r="B58" s="465" t="s">
        <v>595</v>
      </c>
      <c r="C58" s="462">
        <v>13</v>
      </c>
      <c r="D58" s="452">
        <v>3.49E-2</v>
      </c>
      <c r="E58" s="256">
        <f>($D$4*'Tab H'!K57)</f>
        <v>5440.4214000000002</v>
      </c>
      <c r="F58" s="256">
        <f>($D$4*'Tab H'!L57)</f>
        <v>5440.4214000000002</v>
      </c>
      <c r="G58" s="256">
        <f>($D$4*'Tab H'!M57)</f>
        <v>5603.6340420000006</v>
      </c>
      <c r="H58" s="256">
        <f>($D$4*'Tab H'!N57)</f>
        <v>0</v>
      </c>
      <c r="I58" s="256">
        <f>($D$4*'Tab H'!O57)</f>
        <v>0</v>
      </c>
      <c r="J58" s="256">
        <f>($D$4*'Tab H'!P57)</f>
        <v>0</v>
      </c>
      <c r="K58" s="480">
        <f>ROUND($D$4*'Tab H'!Q57,0)</f>
        <v>0</v>
      </c>
      <c r="L58" s="257">
        <f>ROUND($D$4*'Tab H'!R57,0)</f>
        <v>0</v>
      </c>
      <c r="M58" s="258">
        <f t="shared" si="58"/>
        <v>0</v>
      </c>
      <c r="N58" s="258">
        <f t="shared" si="58"/>
        <v>0</v>
      </c>
      <c r="O58" s="258"/>
      <c r="P58" s="258"/>
      <c r="Q58" s="452">
        <v>3.49E-2</v>
      </c>
      <c r="R58" s="517">
        <f>ROUND($D$4*'Tab H'!K57,0)</f>
        <v>5440</v>
      </c>
      <c r="S58" s="517">
        <f>ROUND($D$4*'Tab H'!L57,0)</f>
        <v>5440</v>
      </c>
      <c r="T58" s="517">
        <f>ROUND($D$4*'Tab H'!M57,0)</f>
        <v>5604</v>
      </c>
      <c r="U58" s="451"/>
      <c r="V58" s="451"/>
      <c r="W58" s="451"/>
      <c r="X58" s="453"/>
      <c r="Y58" s="452">
        <v>0.18</v>
      </c>
      <c r="Z58" s="256">
        <f>(0.18*'Tab H'!K57)</f>
        <v>28059.48</v>
      </c>
      <c r="AA58" s="256">
        <f>(0.18*'Tab H'!L57)</f>
        <v>28059.48</v>
      </c>
      <c r="AB58" s="256">
        <f>(0.18*'Tab H'!M57)</f>
        <v>28901.264400000004</v>
      </c>
      <c r="AC58" s="256">
        <f>(0.18*'Tab H'!N57)</f>
        <v>0</v>
      </c>
      <c r="AD58" s="256">
        <f>(0.18*'Tab H'!O57)</f>
        <v>0</v>
      </c>
      <c r="AE58" s="256">
        <f>(0.18*'Tab H'!P57)</f>
        <v>0</v>
      </c>
      <c r="AF58" s="480">
        <f>ROUND($Y$4*'Tab H'!Q57,0)</f>
        <v>0</v>
      </c>
      <c r="AG58" s="257">
        <f>ROUND($Y$4*'Tab H'!R57,0)</f>
        <v>0</v>
      </c>
      <c r="AH58" s="258">
        <f t="shared" si="59"/>
        <v>0</v>
      </c>
      <c r="AI58" s="258">
        <f t="shared" si="59"/>
        <v>0</v>
      </c>
      <c r="AJ58" s="258"/>
      <c r="AK58" s="258"/>
      <c r="AL58" s="452">
        <v>0.12</v>
      </c>
      <c r="AM58" s="452">
        <v>0.12</v>
      </c>
      <c r="AN58" s="452">
        <v>0.12</v>
      </c>
      <c r="AO58" s="452">
        <v>0.12</v>
      </c>
      <c r="AP58" s="452">
        <v>0.12</v>
      </c>
      <c r="AQ58" s="452">
        <v>0.12</v>
      </c>
      <c r="AR58" s="452">
        <v>0.12</v>
      </c>
      <c r="AS58" s="260">
        <f t="shared" si="43"/>
        <v>0.12</v>
      </c>
      <c r="AT58" s="260">
        <f t="shared" si="44"/>
        <v>0.12</v>
      </c>
      <c r="AU58" s="260">
        <f t="shared" si="45"/>
        <v>0.12</v>
      </c>
      <c r="AV58" s="260">
        <f t="shared" si="46"/>
        <v>0.12</v>
      </c>
      <c r="AW58" s="260">
        <f t="shared" si="47"/>
        <v>0.12</v>
      </c>
      <c r="AX58" s="260">
        <f t="shared" si="47"/>
        <v>0.12</v>
      </c>
      <c r="AY58" s="256">
        <f t="shared" si="23"/>
        <v>3367.1376</v>
      </c>
      <c r="AZ58" s="256">
        <f t="shared" si="24"/>
        <v>3367.1376</v>
      </c>
      <c r="BA58" s="256">
        <f t="shared" si="25"/>
        <v>3468.1517280000003</v>
      </c>
      <c r="BB58" s="256">
        <f t="shared" si="26"/>
        <v>0</v>
      </c>
      <c r="BC58" s="256">
        <f t="shared" si="27"/>
        <v>0</v>
      </c>
      <c r="BD58" s="256">
        <f t="shared" si="28"/>
        <v>0</v>
      </c>
      <c r="BE58" s="480">
        <f t="shared" si="29"/>
        <v>0</v>
      </c>
      <c r="BF58" s="257">
        <f t="shared" si="60"/>
        <v>0</v>
      </c>
      <c r="BG58" s="258">
        <f t="shared" si="61"/>
        <v>0</v>
      </c>
      <c r="BH58" s="258">
        <f t="shared" si="61"/>
        <v>0</v>
      </c>
      <c r="BI58" s="258"/>
      <c r="BJ58" s="258"/>
      <c r="BK58" s="452">
        <v>0.04</v>
      </c>
      <c r="BL58" s="256">
        <f>($BK$4*'Tab H'!K57)</f>
        <v>6235.4400000000005</v>
      </c>
      <c r="BM58" s="256">
        <f>($BK$4*'Tab H'!L57)</f>
        <v>6235.4400000000005</v>
      </c>
      <c r="BN58" s="256">
        <f>($BK$4*'Tab H'!M57)</f>
        <v>6422.503200000001</v>
      </c>
      <c r="BO58" s="256">
        <f>($BK$4*'Tab H'!N57)</f>
        <v>0</v>
      </c>
      <c r="BP58" s="256">
        <f>($BK$4*'Tab H'!O57)</f>
        <v>0</v>
      </c>
      <c r="BQ58" s="256">
        <f>($BK$4*'Tab H'!P57)</f>
        <v>0</v>
      </c>
      <c r="BR58" s="256">
        <f t="shared" si="62"/>
        <v>0</v>
      </c>
      <c r="BS58" s="257">
        <f>ROUND($BK$4*'Tab H'!R57,0)</f>
        <v>0</v>
      </c>
      <c r="BT58" s="258">
        <f t="shared" si="63"/>
        <v>0</v>
      </c>
      <c r="BU58" s="258">
        <f t="shared" si="63"/>
        <v>0</v>
      </c>
      <c r="BV58" s="258"/>
      <c r="BW58" s="258"/>
      <c r="BX58" s="452">
        <v>3.49E-2</v>
      </c>
      <c r="BY58" s="256">
        <f>BL58</f>
        <v>6235.4400000000005</v>
      </c>
      <c r="BZ58" s="256">
        <f t="shared" ref="BZ58:CA58" si="68">BM58</f>
        <v>6235.4400000000005</v>
      </c>
      <c r="CA58" s="256">
        <f t="shared" si="68"/>
        <v>6422.503200000001</v>
      </c>
      <c r="CB58" s="480"/>
      <c r="CC58" s="480"/>
      <c r="CD58" s="480"/>
      <c r="CE58" s="480"/>
      <c r="CF58" s="452">
        <v>0.21</v>
      </c>
      <c r="CG58" s="256">
        <f>($CF$4*'Tab H'!K57)</f>
        <v>32736.059999999998</v>
      </c>
      <c r="CH58" s="256">
        <f>($CF$4*'Tab H'!L57)</f>
        <v>32736.059999999998</v>
      </c>
      <c r="CI58" s="256">
        <f>($CF$4*'Tab H'!M57)</f>
        <v>33718.141800000005</v>
      </c>
      <c r="CJ58" s="256">
        <f>($CF$4*'Tab H'!N57)</f>
        <v>0</v>
      </c>
      <c r="CK58" s="256">
        <f>($CF$4*'Tab H'!O57)</f>
        <v>0</v>
      </c>
      <c r="CL58" s="256">
        <f>($CF$4*'Tab H'!P57)</f>
        <v>0</v>
      </c>
      <c r="CM58" s="480">
        <f>ROUND($CF$4*'Tab H'!Q57,0)</f>
        <v>0</v>
      </c>
      <c r="CN58" s="257">
        <f>ROUND($CF$4*'Tab H'!R57,0)</f>
        <v>0</v>
      </c>
      <c r="CO58" s="258">
        <f t="shared" si="64"/>
        <v>0</v>
      </c>
      <c r="CP58" s="258">
        <f t="shared" si="64"/>
        <v>0</v>
      </c>
      <c r="CQ58" s="258"/>
      <c r="CR58" s="258"/>
      <c r="CS58" s="452">
        <v>3.7999999999999999E-2</v>
      </c>
      <c r="CT58" s="452">
        <v>3.7999999999999999E-2</v>
      </c>
      <c r="CU58" s="452">
        <v>3.7999999999999999E-2</v>
      </c>
      <c r="CV58" s="452">
        <v>3.7999999999999999E-2</v>
      </c>
      <c r="CW58" s="452">
        <v>3.7999999999999999E-2</v>
      </c>
      <c r="CX58" s="452">
        <v>3.7999999999999999E-2</v>
      </c>
      <c r="CY58" s="452">
        <v>3.7999999999999999E-2</v>
      </c>
      <c r="CZ58" s="459">
        <f t="shared" si="50"/>
        <v>3.7999999999999999E-2</v>
      </c>
      <c r="DA58" s="459">
        <f t="shared" si="51"/>
        <v>3.7999999999999999E-2</v>
      </c>
      <c r="DB58" s="459">
        <f t="shared" si="52"/>
        <v>3.7999999999999999E-2</v>
      </c>
      <c r="DC58" s="459">
        <f t="shared" si="53"/>
        <v>3.7999999999999999E-2</v>
      </c>
      <c r="DD58" s="459">
        <f t="shared" si="54"/>
        <v>3.7999999999999999E-2</v>
      </c>
      <c r="DE58" s="452"/>
      <c r="DF58" s="256">
        <f t="shared" si="34"/>
        <v>1243.9702799999998</v>
      </c>
      <c r="DG58" s="256">
        <f t="shared" si="35"/>
        <v>1243.9702799999998</v>
      </c>
      <c r="DH58" s="256">
        <f t="shared" si="36"/>
        <v>1281.2893884000002</v>
      </c>
      <c r="DI58" s="256">
        <f t="shared" si="37"/>
        <v>0</v>
      </c>
      <c r="DJ58" s="256">
        <f t="shared" si="38"/>
        <v>0</v>
      </c>
      <c r="DK58" s="256">
        <f t="shared" si="39"/>
        <v>0</v>
      </c>
      <c r="DL58" s="480">
        <f t="shared" si="65"/>
        <v>0</v>
      </c>
      <c r="DM58" s="257">
        <f t="shared" si="66"/>
        <v>0</v>
      </c>
      <c r="DN58" s="258">
        <f t="shared" si="67"/>
        <v>0</v>
      </c>
      <c r="DO58" s="258">
        <f t="shared" si="67"/>
        <v>0</v>
      </c>
      <c r="DP58" s="258"/>
      <c r="DQ58" s="258"/>
    </row>
    <row r="59" spans="1:121" s="202" customFormat="1" ht="15" thickBot="1" x14ac:dyDescent="0.35">
      <c r="A59" s="752"/>
      <c r="B59" s="464" t="s">
        <v>592</v>
      </c>
      <c r="C59" s="460">
        <v>18</v>
      </c>
      <c r="D59" s="452">
        <v>3.49E-2</v>
      </c>
      <c r="E59" s="256">
        <f>($D$4*'Tab H'!K58)</f>
        <v>2661.0552000000002</v>
      </c>
      <c r="F59" s="256">
        <f>($D$4*'Tab H'!L58)</f>
        <v>2661.0552000000002</v>
      </c>
      <c r="G59" s="256">
        <f>($D$4*'Tab H'!M58)</f>
        <v>2740.8868560000001</v>
      </c>
      <c r="H59" s="256">
        <f>($D$4*'Tab H'!N58)</f>
        <v>1411.5567308400002</v>
      </c>
      <c r="I59" s="256">
        <f>($D$4*'Tab H'!O58)</f>
        <v>0</v>
      </c>
      <c r="J59" s="256">
        <f>($D$4*'Tab H'!P58)</f>
        <v>0</v>
      </c>
      <c r="K59" s="480">
        <f>ROUND($D$4*'Tab H'!Q58,0)</f>
        <v>0</v>
      </c>
      <c r="L59" s="257">
        <f>ROUND($D$4*'Tab H'!R58,0)</f>
        <v>0</v>
      </c>
      <c r="M59" s="258">
        <f t="shared" si="58"/>
        <v>0</v>
      </c>
      <c r="N59" s="258">
        <f t="shared" si="58"/>
        <v>0</v>
      </c>
      <c r="O59" s="258"/>
      <c r="P59" s="258"/>
      <c r="Q59" s="452">
        <v>3.49E-2</v>
      </c>
      <c r="R59" s="451"/>
      <c r="S59" s="451"/>
      <c r="T59" s="517"/>
      <c r="U59" s="451"/>
      <c r="V59" s="451"/>
      <c r="W59" s="451"/>
      <c r="X59" s="453"/>
      <c r="Y59" s="452">
        <v>0.18</v>
      </c>
      <c r="Z59" s="256">
        <f>(0.18*'Tab H'!K58)</f>
        <v>13724.64</v>
      </c>
      <c r="AA59" s="256">
        <f>(0.18*'Tab H'!L58)</f>
        <v>13724.64</v>
      </c>
      <c r="AB59" s="256">
        <f>(0.18*'Tab H'!M58)</f>
        <v>14136.379199999999</v>
      </c>
      <c r="AC59" s="256">
        <f>(0.18*'Tab H'!N58)</f>
        <v>7280.2352880000008</v>
      </c>
      <c r="AD59" s="256">
        <f>(0.18*'Tab H'!O58)</f>
        <v>0</v>
      </c>
      <c r="AE59" s="256">
        <f>(0.18*'Tab H'!P58)</f>
        <v>0</v>
      </c>
      <c r="AF59" s="480">
        <f>ROUND($Y$4*'Tab H'!Q58,0)</f>
        <v>0</v>
      </c>
      <c r="AG59" s="257">
        <f>ROUND($Y$4*'Tab H'!R58,0)</f>
        <v>0</v>
      </c>
      <c r="AH59" s="258">
        <f t="shared" si="59"/>
        <v>0</v>
      </c>
      <c r="AI59" s="258">
        <f t="shared" si="59"/>
        <v>0</v>
      </c>
      <c r="AJ59" s="258"/>
      <c r="AK59" s="258"/>
      <c r="AL59" s="452">
        <v>0.12</v>
      </c>
      <c r="AM59" s="452">
        <v>0.12</v>
      </c>
      <c r="AN59" s="452">
        <v>0.12</v>
      </c>
      <c r="AO59" s="452">
        <v>0.12</v>
      </c>
      <c r="AP59" s="452">
        <v>0.12</v>
      </c>
      <c r="AQ59" s="452">
        <v>0.12</v>
      </c>
      <c r="AR59" s="452">
        <v>0.12</v>
      </c>
      <c r="AS59" s="260">
        <f t="shared" si="43"/>
        <v>0.12</v>
      </c>
      <c r="AT59" s="260">
        <f t="shared" si="44"/>
        <v>0.12</v>
      </c>
      <c r="AU59" s="260">
        <f t="shared" si="45"/>
        <v>0.12</v>
      </c>
      <c r="AV59" s="260">
        <f t="shared" si="46"/>
        <v>0.12</v>
      </c>
      <c r="AW59" s="260">
        <f t="shared" si="47"/>
        <v>0.12</v>
      </c>
      <c r="AX59" s="260">
        <f t="shared" si="47"/>
        <v>0.12</v>
      </c>
      <c r="AY59" s="256">
        <f t="shared" si="23"/>
        <v>1646.9567999999999</v>
      </c>
      <c r="AZ59" s="256">
        <f t="shared" si="24"/>
        <v>1646.9567999999999</v>
      </c>
      <c r="BA59" s="256">
        <f t="shared" si="25"/>
        <v>1696.3655039999999</v>
      </c>
      <c r="BB59" s="256">
        <f t="shared" si="26"/>
        <v>873.62823456000001</v>
      </c>
      <c r="BC59" s="256">
        <f t="shared" si="27"/>
        <v>0</v>
      </c>
      <c r="BD59" s="256">
        <f t="shared" si="28"/>
        <v>0</v>
      </c>
      <c r="BE59" s="480">
        <f t="shared" si="29"/>
        <v>0</v>
      </c>
      <c r="BF59" s="257">
        <f t="shared" si="60"/>
        <v>0</v>
      </c>
      <c r="BG59" s="258">
        <f t="shared" si="61"/>
        <v>0</v>
      </c>
      <c r="BH59" s="258">
        <f t="shared" si="61"/>
        <v>0</v>
      </c>
      <c r="BI59" s="258"/>
      <c r="BJ59" s="258"/>
      <c r="BK59" s="452">
        <v>0.04</v>
      </c>
      <c r="BL59" s="256">
        <f>($BK$4*'Tab H'!K58)</f>
        <v>3049.92</v>
      </c>
      <c r="BM59" s="256">
        <f>($BK$4*'Tab H'!L58)</f>
        <v>3049.92</v>
      </c>
      <c r="BN59" s="256">
        <f>($BK$4*'Tab H'!M58)</f>
        <v>3141.4176000000002</v>
      </c>
      <c r="BO59" s="256">
        <f>($BK$4*'Tab H'!N58)</f>
        <v>1617.8300640000002</v>
      </c>
      <c r="BP59" s="256">
        <f>($BK$4*'Tab H'!O58)</f>
        <v>0</v>
      </c>
      <c r="BQ59" s="256">
        <f>($BK$4*'Tab H'!P58)</f>
        <v>0</v>
      </c>
      <c r="BR59" s="256">
        <f t="shared" si="62"/>
        <v>0</v>
      </c>
      <c r="BS59" s="257">
        <f>ROUND($BK$4*'Tab H'!R58,0)</f>
        <v>0</v>
      </c>
      <c r="BT59" s="258">
        <f t="shared" si="63"/>
        <v>0</v>
      </c>
      <c r="BU59" s="258">
        <f t="shared" si="63"/>
        <v>0</v>
      </c>
      <c r="BV59" s="258"/>
      <c r="BW59" s="258"/>
      <c r="BX59" s="452">
        <v>3.49E-2</v>
      </c>
      <c r="BY59" s="451"/>
      <c r="BZ59" s="451"/>
      <c r="CA59" s="256"/>
      <c r="CB59" s="480"/>
      <c r="CC59" s="480"/>
      <c r="CD59" s="480"/>
      <c r="CE59" s="480"/>
      <c r="CF59" s="452">
        <v>0.21</v>
      </c>
      <c r="CG59" s="256">
        <f>($CF$4*'Tab H'!K58)</f>
        <v>16012.08</v>
      </c>
      <c r="CH59" s="256">
        <f>($CF$4*'Tab H'!L58)</f>
        <v>16012.08</v>
      </c>
      <c r="CI59" s="256">
        <f>($CF$4*'Tab H'!M58)</f>
        <v>16492.4424</v>
      </c>
      <c r="CJ59" s="256">
        <f>($CF$4*'Tab H'!N58)</f>
        <v>8493.607836000001</v>
      </c>
      <c r="CK59" s="256">
        <f>($CF$4*'Tab H'!O58)</f>
        <v>0</v>
      </c>
      <c r="CL59" s="256">
        <f>($CF$4*'Tab H'!P58)</f>
        <v>0</v>
      </c>
      <c r="CM59" s="480">
        <f>ROUND($CF$4*'Tab H'!Q58,0)</f>
        <v>0</v>
      </c>
      <c r="CN59" s="257">
        <f>ROUND($CF$4*'Tab H'!R58,0)</f>
        <v>0</v>
      </c>
      <c r="CO59" s="258">
        <f t="shared" si="64"/>
        <v>0</v>
      </c>
      <c r="CP59" s="258">
        <f t="shared" si="64"/>
        <v>0</v>
      </c>
      <c r="CQ59" s="258"/>
      <c r="CR59" s="258"/>
      <c r="CS59" s="452">
        <v>3.7999999999999999E-2</v>
      </c>
      <c r="CT59" s="452">
        <v>3.7999999999999999E-2</v>
      </c>
      <c r="CU59" s="452">
        <v>3.7999999999999999E-2</v>
      </c>
      <c r="CV59" s="452">
        <v>3.7999999999999999E-2</v>
      </c>
      <c r="CW59" s="452">
        <v>3.7999999999999999E-2</v>
      </c>
      <c r="CX59" s="452">
        <v>3.7999999999999999E-2</v>
      </c>
      <c r="CY59" s="452">
        <v>3.7999999999999999E-2</v>
      </c>
      <c r="CZ59" s="459">
        <f t="shared" si="50"/>
        <v>3.7999999999999999E-2</v>
      </c>
      <c r="DA59" s="459">
        <f t="shared" si="51"/>
        <v>3.7999999999999999E-2</v>
      </c>
      <c r="DB59" s="459">
        <f t="shared" si="52"/>
        <v>3.7999999999999999E-2</v>
      </c>
      <c r="DC59" s="459">
        <f t="shared" si="53"/>
        <v>3.7999999999999999E-2</v>
      </c>
      <c r="DD59" s="459">
        <f t="shared" si="54"/>
        <v>3.7999999999999999E-2</v>
      </c>
      <c r="DE59" s="452"/>
      <c r="DF59" s="256">
        <f t="shared" si="34"/>
        <v>608.45903999999996</v>
      </c>
      <c r="DG59" s="256">
        <f t="shared" si="35"/>
        <v>608.45903999999996</v>
      </c>
      <c r="DH59" s="256">
        <f t="shared" si="36"/>
        <v>626.71281120000003</v>
      </c>
      <c r="DI59" s="256">
        <f t="shared" si="37"/>
        <v>322.75709776800005</v>
      </c>
      <c r="DJ59" s="256">
        <f t="shared" si="38"/>
        <v>0</v>
      </c>
      <c r="DK59" s="256">
        <f t="shared" si="39"/>
        <v>0</v>
      </c>
      <c r="DL59" s="480">
        <f t="shared" si="65"/>
        <v>0</v>
      </c>
      <c r="DM59" s="257">
        <f t="shared" si="66"/>
        <v>0</v>
      </c>
      <c r="DN59" s="258">
        <f t="shared" si="67"/>
        <v>0</v>
      </c>
      <c r="DO59" s="258">
        <f t="shared" si="67"/>
        <v>0</v>
      </c>
      <c r="DP59" s="258"/>
      <c r="DQ59" s="258"/>
    </row>
    <row r="60" spans="1:121" x14ac:dyDescent="0.3">
      <c r="A60" s="261" t="s">
        <v>193</v>
      </c>
      <c r="B60" s="262"/>
      <c r="C60" s="263"/>
      <c r="D60" s="263"/>
      <c r="E60" s="263">
        <f>SUM(E4:E59)</f>
        <v>310696.06339999998</v>
      </c>
      <c r="F60" s="263">
        <f>SUM(F4:F59)</f>
        <v>256083.77559999999</v>
      </c>
      <c r="G60" s="263">
        <f t="shared" ref="G60:K60" si="69">SUM(G4:G59)</f>
        <v>320016.94530200004</v>
      </c>
      <c r="H60" s="263">
        <f t="shared" si="69"/>
        <v>313410.24689094</v>
      </c>
      <c r="I60" s="263">
        <f t="shared" si="69"/>
        <v>319764.97836065851</v>
      </c>
      <c r="J60" s="263">
        <f t="shared" si="69"/>
        <v>329357.92771147814</v>
      </c>
      <c r="K60" s="263">
        <f t="shared" si="69"/>
        <v>333963</v>
      </c>
      <c r="L60" s="264">
        <f>SUM(L4:L59)</f>
        <v>340605</v>
      </c>
      <c r="M60" s="265">
        <f t="shared" ref="M60:P60" si="70">SUM(M4:M59)</f>
        <v>85151.25</v>
      </c>
      <c r="N60" s="265">
        <f t="shared" si="70"/>
        <v>85151.25</v>
      </c>
      <c r="O60" s="265">
        <f t="shared" si="70"/>
        <v>81829.75</v>
      </c>
      <c r="P60" s="265">
        <f t="shared" si="70"/>
        <v>81829.75</v>
      </c>
      <c r="Q60" s="263"/>
      <c r="R60" s="263">
        <f>SUM(R4:R59)</f>
        <v>108563</v>
      </c>
      <c r="S60" s="263">
        <f>SUM(S4:S59)</f>
        <v>90227</v>
      </c>
      <c r="T60" s="263">
        <f t="shared" ref="T60" si="71">SUM(T4:T59)</f>
        <v>111823</v>
      </c>
      <c r="U60" s="263">
        <f t="shared" ref="U60" si="72">SUM(U4:U59)</f>
        <v>119645</v>
      </c>
      <c r="V60" s="263">
        <f t="shared" ref="V60" si="73">SUM(V4:V59)</f>
        <v>123233</v>
      </c>
      <c r="W60" s="263">
        <f t="shared" ref="W60" si="74">SUM(W4:W59)</f>
        <v>153938</v>
      </c>
      <c r="X60" s="263">
        <f t="shared" ref="X60" si="75">SUM(X4:X59)</f>
        <v>158875</v>
      </c>
      <c r="Y60" s="263"/>
      <c r="Z60" s="263">
        <f>SUM(Z4:Z59)</f>
        <v>1602443.8799999997</v>
      </c>
      <c r="AA60" s="263">
        <f>SUM(AA4:AA59)</f>
        <v>1320775.9200000002</v>
      </c>
      <c r="AB60" s="263">
        <f t="shared" ref="AB60" si="76">SUM(AB4:AB59)</f>
        <v>1650517.1963999998</v>
      </c>
      <c r="AC60" s="263">
        <f t="shared" ref="AC60" si="77">SUM(AC4:AC59)</f>
        <v>1616442.5341080001</v>
      </c>
      <c r="AD60" s="263">
        <f t="shared" ref="AD60" si="78">SUM(AD4:AD59)</f>
        <v>1649217.6534360612</v>
      </c>
      <c r="AE60" s="263">
        <f t="shared" ref="AE60" si="79">SUM(AE4:AE59)</f>
        <v>1698694.1830391418</v>
      </c>
      <c r="AF60" s="263">
        <f t="shared" ref="AF60" si="80">SUM(AF4:AF59)</f>
        <v>1808565</v>
      </c>
      <c r="AG60" s="264">
        <f>SUM(AG4:AG59)</f>
        <v>1844544</v>
      </c>
      <c r="AH60" s="265">
        <f t="shared" ref="AH60" si="81">SUM(AH4:AH59)</f>
        <v>461136</v>
      </c>
      <c r="AI60" s="265">
        <f t="shared" ref="AI60" si="82">SUM(AI4:AI59)</f>
        <v>461136</v>
      </c>
      <c r="AJ60" s="265">
        <f t="shared" ref="AJ60" si="83">SUM(AJ4:AJ59)</f>
        <v>443147</v>
      </c>
      <c r="AK60" s="265">
        <f t="shared" ref="AK60" si="84">SUM(AK4:AK59)</f>
        <v>443147</v>
      </c>
      <c r="AL60" s="263"/>
      <c r="AM60" s="263"/>
      <c r="AN60" s="263"/>
      <c r="AO60" s="263"/>
      <c r="AP60" s="263"/>
      <c r="AQ60" s="263"/>
      <c r="AR60" s="263"/>
      <c r="AS60" s="263"/>
      <c r="AT60" s="263"/>
      <c r="AU60" s="263"/>
      <c r="AV60" s="263"/>
      <c r="AW60" s="263"/>
      <c r="AX60" s="263"/>
      <c r="AY60" s="263">
        <f>SUM(AY4:AY59)</f>
        <v>222324.97859999997</v>
      </c>
      <c r="AZ60" s="263">
        <f>SUM(AZ4:AZ59)</f>
        <v>181268.451</v>
      </c>
      <c r="BA60" s="263">
        <f t="shared" ref="BA60" si="85">SUM(BA4:BA59)</f>
        <v>228994.72795799997</v>
      </c>
      <c r="BB60" s="263">
        <f t="shared" ref="BB60" si="86">SUM(BB4:BB59)</f>
        <v>225833.74841465999</v>
      </c>
      <c r="BC60" s="263">
        <f t="shared" ref="BC60" si="87">SUM(BC4:BC59)</f>
        <v>230722.58206367824</v>
      </c>
      <c r="BD60" s="263">
        <f t="shared" ref="BD60" si="88">SUM(BD4:BD59)</f>
        <v>237644.25952558857</v>
      </c>
      <c r="BE60" s="263">
        <f t="shared" ref="BE60" si="89">SUM(BE4:BE59)</f>
        <v>253301</v>
      </c>
      <c r="BF60" s="264">
        <f>SUM(BF4:BF59)</f>
        <v>257978</v>
      </c>
      <c r="BG60" s="265">
        <f t="shared" ref="BG60" si="90">SUM(BG4:BG59)</f>
        <v>64494.5</v>
      </c>
      <c r="BH60" s="265">
        <f t="shared" ref="BH60" si="91">SUM(BH4:BH59)</f>
        <v>64494.5</v>
      </c>
      <c r="BI60" s="265">
        <f t="shared" ref="BI60" si="92">SUM(BI4:BI59)</f>
        <v>62156</v>
      </c>
      <c r="BJ60" s="265">
        <f t="shared" ref="BJ60" si="93">SUM(BJ4:BJ59)</f>
        <v>62156</v>
      </c>
      <c r="BK60" s="263"/>
      <c r="BL60" s="263">
        <f>SUM(BL4:BL59)</f>
        <v>356098.64</v>
      </c>
      <c r="BM60" s="263">
        <f>SUM(BM4:BM59)</f>
        <v>293505.76000000007</v>
      </c>
      <c r="BN60" s="263">
        <f t="shared" ref="BN60" si="94">SUM(BN4:BN59)</f>
        <v>366781.59920000006</v>
      </c>
      <c r="BO60" s="263">
        <f t="shared" ref="BO60" si="95">SUM(BO4:BO59)</f>
        <v>359209.452024</v>
      </c>
      <c r="BP60" s="263">
        <f t="shared" ref="BP60" si="96">SUM(BP4:BP59)</f>
        <v>366492.81187467999</v>
      </c>
      <c r="BQ60" s="263">
        <f t="shared" ref="BQ60" si="97">SUM(BQ4:BQ59)</f>
        <v>377487.59623092046</v>
      </c>
      <c r="BR60" s="263">
        <f t="shared" ref="BR60" si="98">SUM(BR4:BR59)</f>
        <v>382765</v>
      </c>
      <c r="BS60" s="264">
        <f>SUM(BS4:BS59)</f>
        <v>390379</v>
      </c>
      <c r="BT60" s="265">
        <f t="shared" ref="BT60" si="99">SUM(BT4:BT59)</f>
        <v>97594.75</v>
      </c>
      <c r="BU60" s="265">
        <f t="shared" ref="BU60" si="100">SUM(BU4:BU59)</f>
        <v>97594.75</v>
      </c>
      <c r="BV60" s="265">
        <f t="shared" ref="BV60" si="101">SUM(BV4:BV59)</f>
        <v>93787.75</v>
      </c>
      <c r="BW60" s="265">
        <f t="shared" ref="BW60" si="102">SUM(BW4:BW59)</f>
        <v>93787.75</v>
      </c>
      <c r="BX60" s="263"/>
      <c r="BY60" s="263">
        <f>SUM(BY4:BY59)</f>
        <v>124429.44</v>
      </c>
      <c r="BZ60" s="263">
        <f>SUM(BZ4:BZ59)</f>
        <v>103414.44</v>
      </c>
      <c r="CA60" s="263">
        <f>SUM(CA4:CA59)</f>
        <v>128161.50320000001</v>
      </c>
      <c r="CB60" s="263">
        <f t="shared" ref="CB60" si="103">SUM(CB4:CB59)</f>
        <v>137129</v>
      </c>
      <c r="CC60" s="263">
        <f t="shared" ref="CC60" si="104">SUM(CC4:CC59)</f>
        <v>141245</v>
      </c>
      <c r="CD60" s="263">
        <f t="shared" ref="CD60" si="105">SUM(CD4:CD59)</f>
        <v>176433</v>
      </c>
      <c r="CE60" s="263">
        <f t="shared" ref="CE60" si="106">SUM(CE4:CE59)</f>
        <v>182092</v>
      </c>
      <c r="CF60" s="263"/>
      <c r="CG60" s="263">
        <f>SUM(CG4:CG59)</f>
        <v>1869517.8600000003</v>
      </c>
      <c r="CH60" s="263">
        <f>SUM(CH4:CH59)</f>
        <v>1540905.2400000002</v>
      </c>
      <c r="CI60" s="263">
        <f t="shared" ref="CI60" si="107">SUM(CI4:CI59)</f>
        <v>1925603.3958000003</v>
      </c>
      <c r="CJ60" s="263">
        <f t="shared" ref="CJ60" si="108">SUM(CJ4:CJ59)</f>
        <v>1885849.6231260004</v>
      </c>
      <c r="CK60" s="263">
        <f t="shared" ref="CK60" si="109">SUM(CK4:CK59)</f>
        <v>1924087.2623420702</v>
      </c>
      <c r="CL60" s="263">
        <f t="shared" ref="CL60" si="110">SUM(CL4:CL59)</f>
        <v>1981809.8802123326</v>
      </c>
      <c r="CM60" s="263">
        <f t="shared" ref="CM60" si="111">SUM(CM4:CM59)</f>
        <v>2009515</v>
      </c>
      <c r="CN60" s="264">
        <f>SUM(CN4:CN59)</f>
        <v>2049491</v>
      </c>
      <c r="CO60" s="265">
        <f t="shared" ref="CO60" si="112">SUM(CO4:CO59)</f>
        <v>512372.75</v>
      </c>
      <c r="CP60" s="265">
        <f t="shared" ref="CP60" si="113">SUM(CP4:CP59)</f>
        <v>512372.75</v>
      </c>
      <c r="CQ60" s="265">
        <f t="shared" ref="CQ60" si="114">SUM(CQ4:CQ59)</f>
        <v>492385</v>
      </c>
      <c r="CR60" s="265">
        <f t="shared" ref="CR60" si="115">SUM(CR4:CR59)</f>
        <v>492385</v>
      </c>
      <c r="CS60" s="263"/>
      <c r="CT60" s="263"/>
      <c r="CU60" s="263"/>
      <c r="CV60" s="263"/>
      <c r="CW60" s="263"/>
      <c r="CX60" s="263"/>
      <c r="CY60" s="263"/>
      <c r="CZ60" s="263"/>
      <c r="DA60" s="263"/>
      <c r="DB60" s="263"/>
      <c r="DC60" s="263"/>
      <c r="DD60" s="263"/>
      <c r="DE60" s="263"/>
      <c r="DF60" s="263">
        <f>SUM(DF4:DF59)</f>
        <v>45926.403600000005</v>
      </c>
      <c r="DG60" s="263">
        <f>SUM(DG4:DG59)</f>
        <v>39328.561860000009</v>
      </c>
      <c r="DH60" s="263">
        <f t="shared" ref="DH60" si="116">SUM(DH4:DH59)</f>
        <v>47304.195707999992</v>
      </c>
      <c r="DI60" s="263">
        <f t="shared" ref="DI60" si="117">SUM(DI4:DI59)</f>
        <v>45017.490346416009</v>
      </c>
      <c r="DJ60" s="263">
        <f t="shared" ref="DJ60" si="118">SUM(DJ4:DJ59)</f>
        <v>45671.176776655506</v>
      </c>
      <c r="DK60" s="263">
        <f t="shared" ref="DK60" si="119">SUM(DK4:DK59)</f>
        <v>47041.312079955169</v>
      </c>
      <c r="DL60" s="263">
        <f t="shared" ref="DL60" si="120">SUM(DL4:DL59)</f>
        <v>47317</v>
      </c>
      <c r="DM60" s="264">
        <f>SUM(DM4:DM59)</f>
        <v>48835</v>
      </c>
      <c r="DN60" s="265">
        <f t="shared" ref="DN60" si="121">SUM(DN4:DN59)</f>
        <v>12208.75</v>
      </c>
      <c r="DO60" s="265">
        <f t="shared" ref="DO60" si="122">SUM(DO4:DO59)</f>
        <v>12208.75</v>
      </c>
      <c r="DP60" s="265">
        <f t="shared" ref="DP60" si="123">SUM(DP4:DP59)</f>
        <v>11449.25</v>
      </c>
      <c r="DQ60" s="265">
        <f t="shared" ref="DQ60" si="124">SUM(DQ4:DQ59)</f>
        <v>11449.25</v>
      </c>
    </row>
  </sheetData>
  <mergeCells count="32">
    <mergeCell ref="CS1:DQ1"/>
    <mergeCell ref="CS2:CY2"/>
    <mergeCell ref="CZ2:DE2"/>
    <mergeCell ref="DF2:DL2"/>
    <mergeCell ref="DM2:DQ2"/>
    <mergeCell ref="AL1:BJ1"/>
    <mergeCell ref="CF1:CR1"/>
    <mergeCell ref="CG2:CM2"/>
    <mergeCell ref="L2:P2"/>
    <mergeCell ref="AG2:AK2"/>
    <mergeCell ref="BS2:BW2"/>
    <mergeCell ref="CN2:CR2"/>
    <mergeCell ref="Q1:X1"/>
    <mergeCell ref="R2:X2"/>
    <mergeCell ref="BX1:CE1"/>
    <mergeCell ref="BY2:CE2"/>
    <mergeCell ref="A56:A59"/>
    <mergeCell ref="A53:A55"/>
    <mergeCell ref="AY2:BE2"/>
    <mergeCell ref="BK1:BW1"/>
    <mergeCell ref="BL2:BR2"/>
    <mergeCell ref="BF2:BJ2"/>
    <mergeCell ref="AL2:AR2"/>
    <mergeCell ref="AS2:AX2"/>
    <mergeCell ref="A4:A14"/>
    <mergeCell ref="A15:A31"/>
    <mergeCell ref="A32:A41"/>
    <mergeCell ref="A42:A52"/>
    <mergeCell ref="D1:P1"/>
    <mergeCell ref="E2:K2"/>
    <mergeCell ref="Y1:AK1"/>
    <mergeCell ref="Z2:AF2"/>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83"/>
  <sheetViews>
    <sheetView topLeftCell="C1" workbookViewId="0">
      <pane ySplit="6" topLeftCell="A22" activePane="bottomLeft" state="frozen"/>
      <selection activeCell="B1" sqref="B1"/>
      <selection pane="bottomLeft" activeCell="J26" sqref="J26"/>
    </sheetView>
  </sheetViews>
  <sheetFormatPr defaultColWidth="11.44140625" defaultRowHeight="14.4" x14ac:dyDescent="0.3"/>
  <cols>
    <col min="2" max="2" width="71.21875" customWidth="1"/>
    <col min="3" max="3" width="13.21875" customWidth="1"/>
    <col min="4" max="4" width="16.21875" customWidth="1"/>
  </cols>
  <sheetData>
    <row r="1" spans="1:11" x14ac:dyDescent="0.3">
      <c r="A1" s="786" t="s">
        <v>631</v>
      </c>
      <c r="B1" s="787"/>
      <c r="C1" s="787"/>
      <c r="D1" s="787"/>
      <c r="E1" s="787"/>
      <c r="F1" s="787"/>
      <c r="G1" s="787"/>
      <c r="H1" s="787"/>
      <c r="I1" s="787"/>
      <c r="J1" s="788"/>
      <c r="K1" s="522"/>
    </row>
    <row r="2" spans="1:11" x14ac:dyDescent="0.3">
      <c r="A2" s="783"/>
      <c r="B2" s="793" t="s">
        <v>632</v>
      </c>
      <c r="C2" s="794"/>
      <c r="D2" s="794"/>
      <c r="E2" s="794"/>
      <c r="F2" s="794"/>
      <c r="G2" s="794"/>
      <c r="H2" s="794"/>
      <c r="I2" s="794"/>
      <c r="J2" s="795"/>
    </row>
    <row r="3" spans="1:11" x14ac:dyDescent="0.3">
      <c r="A3" s="784"/>
      <c r="B3" s="796"/>
      <c r="C3" s="797"/>
      <c r="D3" s="797"/>
      <c r="E3" s="797"/>
      <c r="F3" s="797"/>
      <c r="G3" s="797"/>
      <c r="H3" s="797"/>
      <c r="I3" s="797"/>
      <c r="J3" s="798"/>
    </row>
    <row r="4" spans="1:11" ht="57.75" customHeight="1" thickBot="1" x14ac:dyDescent="0.35">
      <c r="A4" s="785"/>
      <c r="B4" s="799"/>
      <c r="C4" s="800"/>
      <c r="D4" s="800"/>
      <c r="E4" s="800"/>
      <c r="F4" s="800"/>
      <c r="G4" s="800"/>
      <c r="H4" s="800"/>
      <c r="I4" s="800"/>
      <c r="J4" s="801"/>
    </row>
    <row r="5" spans="1:11" x14ac:dyDescent="0.3">
      <c r="B5" s="523"/>
    </row>
    <row r="6" spans="1:11" x14ac:dyDescent="0.3">
      <c r="B6" s="273"/>
      <c r="C6" s="273"/>
      <c r="D6" s="273"/>
      <c r="E6" s="274" t="s">
        <v>6</v>
      </c>
      <c r="F6" s="274" t="s">
        <v>7</v>
      </c>
      <c r="G6" s="274" t="s">
        <v>8</v>
      </c>
      <c r="H6" s="274" t="s">
        <v>9</v>
      </c>
      <c r="I6" s="274" t="s">
        <v>10</v>
      </c>
      <c r="J6" s="274" t="s">
        <v>1</v>
      </c>
    </row>
    <row r="7" spans="1:11" x14ac:dyDescent="0.3">
      <c r="B7" s="275" t="s">
        <v>4</v>
      </c>
      <c r="C7" s="275"/>
      <c r="D7" s="275"/>
      <c r="E7" s="276"/>
      <c r="F7" s="276"/>
      <c r="G7" s="276"/>
      <c r="H7" s="276"/>
      <c r="I7" s="276"/>
      <c r="J7" s="276"/>
    </row>
    <row r="8" spans="1:11" x14ac:dyDescent="0.3">
      <c r="B8" s="791" t="s">
        <v>13</v>
      </c>
      <c r="C8" s="277"/>
      <c r="D8" s="277" t="s">
        <v>14</v>
      </c>
      <c r="E8" s="276"/>
      <c r="F8" s="276"/>
      <c r="G8" s="276"/>
      <c r="H8" s="276"/>
      <c r="I8" s="276"/>
      <c r="J8" s="276"/>
    </row>
    <row r="9" spans="1:11" x14ac:dyDescent="0.3">
      <c r="B9" s="792"/>
      <c r="C9" s="277"/>
      <c r="D9" s="277" t="s">
        <v>16</v>
      </c>
      <c r="E9" s="276"/>
      <c r="F9" s="276"/>
      <c r="G9" s="276"/>
      <c r="H9" s="276"/>
      <c r="I9" s="276"/>
      <c r="J9" s="276"/>
    </row>
    <row r="10" spans="1:11" x14ac:dyDescent="0.3">
      <c r="B10" s="275" t="s">
        <v>18</v>
      </c>
      <c r="C10" s="275"/>
      <c r="D10" s="275"/>
      <c r="E10" s="276"/>
      <c r="F10" s="276"/>
      <c r="G10" s="276"/>
      <c r="H10" s="276"/>
      <c r="I10" s="276"/>
      <c r="J10" s="276"/>
    </row>
    <row r="11" spans="1:11" ht="15" customHeight="1" x14ac:dyDescent="0.3">
      <c r="B11" s="277" t="s">
        <v>19</v>
      </c>
      <c r="C11" s="277"/>
      <c r="D11" s="277"/>
      <c r="E11" s="276"/>
      <c r="F11" s="276"/>
      <c r="G11" s="276"/>
      <c r="H11" s="276"/>
      <c r="I11" s="276"/>
      <c r="J11" s="276"/>
    </row>
    <row r="12" spans="1:11" x14ac:dyDescent="0.3">
      <c r="B12" s="275" t="s">
        <v>21</v>
      </c>
      <c r="C12" s="275"/>
      <c r="D12" s="275"/>
      <c r="E12" s="276"/>
      <c r="F12" s="276"/>
      <c r="G12" s="276"/>
      <c r="H12" s="276"/>
      <c r="I12" s="276"/>
      <c r="J12" s="276"/>
    </row>
    <row r="13" spans="1:11" x14ac:dyDescent="0.3">
      <c r="B13" s="277" t="s">
        <v>24</v>
      </c>
      <c r="C13" s="277"/>
      <c r="D13" s="277"/>
      <c r="E13" s="276"/>
      <c r="F13" s="276"/>
      <c r="G13" s="276"/>
      <c r="H13" s="276"/>
      <c r="I13" s="276"/>
      <c r="J13" s="276"/>
    </row>
    <row r="14" spans="1:11" x14ac:dyDescent="0.3">
      <c r="B14" s="278" t="s">
        <v>27</v>
      </c>
      <c r="C14" s="278"/>
      <c r="D14" s="278"/>
      <c r="E14" s="276"/>
      <c r="F14" s="276"/>
      <c r="G14" s="276"/>
      <c r="H14" s="276"/>
      <c r="I14" s="276"/>
      <c r="J14" s="276"/>
    </row>
    <row r="15" spans="1:11" ht="15" customHeight="1" x14ac:dyDescent="0.3">
      <c r="B15" s="280" t="s">
        <v>29</v>
      </c>
      <c r="C15" s="280"/>
      <c r="D15" s="280"/>
      <c r="E15" s="276"/>
      <c r="F15" s="276"/>
      <c r="G15" s="276"/>
      <c r="H15" s="276"/>
      <c r="I15" s="276"/>
      <c r="J15" s="276"/>
    </row>
    <row r="16" spans="1:11" x14ac:dyDescent="0.3">
      <c r="B16" s="278" t="s">
        <v>33</v>
      </c>
      <c r="C16" s="278"/>
      <c r="D16" s="278"/>
      <c r="E16" s="276"/>
      <c r="F16" s="276"/>
      <c r="G16" s="276"/>
      <c r="H16" s="276"/>
      <c r="I16" s="276"/>
      <c r="J16" s="276"/>
    </row>
    <row r="17" spans="2:10" ht="15" customHeight="1" x14ac:dyDescent="0.3">
      <c r="B17" s="280" t="s">
        <v>35</v>
      </c>
      <c r="C17" s="277"/>
      <c r="D17" s="277" t="s">
        <v>14</v>
      </c>
      <c r="E17" s="109">
        <v>0.74509999999999998</v>
      </c>
      <c r="F17" s="109">
        <v>0.8</v>
      </c>
      <c r="G17" s="109">
        <v>0.85</v>
      </c>
      <c r="H17" s="109">
        <v>0.9</v>
      </c>
      <c r="I17" s="109">
        <v>0.90000043284116693</v>
      </c>
      <c r="J17" s="105">
        <v>0.92</v>
      </c>
    </row>
    <row r="18" spans="2:10" ht="15" customHeight="1" x14ac:dyDescent="0.3">
      <c r="B18" s="280"/>
      <c r="C18" s="277"/>
      <c r="D18" s="277" t="s">
        <v>16</v>
      </c>
      <c r="E18" s="109">
        <f>'Tab A (Logframe)'!E40</f>
        <v>0.73</v>
      </c>
      <c r="F18" s="109">
        <f>'Tab A (Logframe)'!F40</f>
        <v>0.72</v>
      </c>
      <c r="G18" s="109">
        <f>'Tab A (Logframe)'!G40</f>
        <v>0.83727195458070947</v>
      </c>
      <c r="H18" s="109">
        <f>'Tab A (Logframe)'!H40</f>
        <v>0.91487469640919483</v>
      </c>
      <c r="I18" s="109">
        <f>'Tab A (Logframe)'!I40</f>
        <v>0.94375021472776766</v>
      </c>
      <c r="J18" s="109">
        <f>'Tab A (Logframe)'!J40</f>
        <v>0</v>
      </c>
    </row>
    <row r="19" spans="2:10" x14ac:dyDescent="0.3">
      <c r="B19" s="275" t="s">
        <v>38</v>
      </c>
      <c r="C19" s="275"/>
      <c r="D19" s="275"/>
      <c r="E19" s="276"/>
      <c r="F19" s="276"/>
      <c r="G19" s="276"/>
      <c r="H19" s="276"/>
      <c r="I19" s="276"/>
      <c r="J19" s="276"/>
    </row>
    <row r="20" spans="2:10" ht="15" customHeight="1" x14ac:dyDescent="0.3">
      <c r="B20" s="277" t="s">
        <v>39</v>
      </c>
      <c r="C20" s="277"/>
      <c r="D20" s="277" t="s">
        <v>14</v>
      </c>
      <c r="E20" s="520"/>
      <c r="F20" s="520"/>
      <c r="G20" s="520"/>
      <c r="H20" s="520"/>
      <c r="I20" s="520"/>
      <c r="J20" s="281">
        <v>1.7999999999999999E-2</v>
      </c>
    </row>
    <row r="21" spans="2:10" ht="15" customHeight="1" x14ac:dyDescent="0.3">
      <c r="B21" s="277"/>
      <c r="C21" s="277"/>
      <c r="D21" s="277" t="s">
        <v>16</v>
      </c>
      <c r="E21" s="282"/>
      <c r="F21" s="282"/>
      <c r="G21" s="282"/>
      <c r="H21" s="282"/>
      <c r="I21" s="282"/>
      <c r="J21" s="282"/>
    </row>
    <row r="22" spans="2:10" x14ac:dyDescent="0.3">
      <c r="B22" s="275" t="s">
        <v>40</v>
      </c>
      <c r="C22" s="275"/>
      <c r="D22" s="275"/>
      <c r="E22" s="276"/>
      <c r="F22" s="276"/>
      <c r="G22" s="276"/>
      <c r="H22" s="276"/>
      <c r="I22" s="276"/>
      <c r="J22" s="276"/>
    </row>
    <row r="23" spans="2:10" x14ac:dyDescent="0.3">
      <c r="B23" s="789" t="s">
        <v>41</v>
      </c>
      <c r="C23" s="277"/>
      <c r="D23" s="277" t="s">
        <v>14</v>
      </c>
      <c r="E23" s="109">
        <v>0.9</v>
      </c>
      <c r="F23" s="109">
        <v>0.92</v>
      </c>
      <c r="G23" s="109">
        <v>0.93</v>
      </c>
      <c r="H23" s="109">
        <v>0.94</v>
      </c>
      <c r="I23" s="109">
        <v>0.84999927569754274</v>
      </c>
      <c r="J23" s="109">
        <v>0.94</v>
      </c>
    </row>
    <row r="24" spans="2:10" x14ac:dyDescent="0.3">
      <c r="B24" s="789"/>
      <c r="C24" s="277"/>
      <c r="D24" s="277" t="s">
        <v>16</v>
      </c>
      <c r="E24" s="279">
        <f>'Tab A (Logframe)'!E54</f>
        <v>0.91</v>
      </c>
      <c r="F24" s="279">
        <f>'Tab A (Logframe)'!F54</f>
        <v>0.94</v>
      </c>
      <c r="G24" s="279">
        <f>'Tab A (Logframe)'!G54</f>
        <v>0.96126084896271802</v>
      </c>
      <c r="H24" s="279">
        <f>'Tab A (Logframe)'!H54</f>
        <v>0.938902069698756</v>
      </c>
      <c r="I24" s="279">
        <f>'Tab A (Logframe)'!I54</f>
        <v>0.88558366281533774</v>
      </c>
      <c r="J24" s="279">
        <f>'Tab A (Logframe)'!J54</f>
        <v>0</v>
      </c>
    </row>
    <row r="25" spans="2:10" x14ac:dyDescent="0.3">
      <c r="B25" s="275" t="s">
        <v>42</v>
      </c>
      <c r="C25" s="275"/>
      <c r="D25" s="275"/>
      <c r="E25" s="276"/>
      <c r="F25" s="276"/>
      <c r="G25" s="276"/>
      <c r="H25" s="276"/>
      <c r="I25" s="276"/>
      <c r="J25" s="276"/>
    </row>
    <row r="26" spans="2:10" x14ac:dyDescent="0.3">
      <c r="B26" s="789" t="s">
        <v>43</v>
      </c>
      <c r="C26" s="277"/>
      <c r="D26" s="277" t="s">
        <v>14</v>
      </c>
      <c r="E26" s="109">
        <v>0.37</v>
      </c>
      <c r="F26" s="109">
        <v>0.45</v>
      </c>
      <c r="G26" s="354">
        <v>0.5</v>
      </c>
      <c r="H26" s="109">
        <v>0.55000000000000004</v>
      </c>
      <c r="I26" s="109">
        <v>0.51549995799321724</v>
      </c>
      <c r="J26" s="109">
        <v>0.55000000000000004</v>
      </c>
    </row>
    <row r="27" spans="2:10" x14ac:dyDescent="0.3">
      <c r="B27" s="789"/>
      <c r="C27" s="277"/>
      <c r="D27" s="277" t="s">
        <v>16</v>
      </c>
      <c r="E27" s="279">
        <f>'Tab A (Logframe)'!E64</f>
        <v>0.34</v>
      </c>
      <c r="F27" s="279">
        <f>'Tab A (Logframe)'!F64</f>
        <v>0.34</v>
      </c>
      <c r="G27" s="279">
        <f>'Tab A (Logframe)'!G64</f>
        <v>0.47727741860352102</v>
      </c>
      <c r="H27" s="279">
        <f>'Tab A (Logframe)'!H64</f>
        <v>0.52808850195452139</v>
      </c>
      <c r="I27" s="279">
        <f>'Tab A (Logframe)'!I64</f>
        <v>0.59683984917527599</v>
      </c>
      <c r="J27" s="279"/>
    </row>
    <row r="28" spans="2:10" x14ac:dyDescent="0.3">
      <c r="B28" s="278" t="s">
        <v>56</v>
      </c>
      <c r="C28" s="278"/>
      <c r="D28" s="278"/>
      <c r="E28" s="276"/>
      <c r="F28" s="276"/>
      <c r="G28" s="276"/>
      <c r="H28" s="276"/>
      <c r="I28" s="276"/>
      <c r="J28" s="276"/>
    </row>
    <row r="29" spans="2:10" x14ac:dyDescent="0.3">
      <c r="B29" s="789" t="s">
        <v>58</v>
      </c>
      <c r="C29" s="277"/>
      <c r="D29" s="277" t="s">
        <v>14</v>
      </c>
      <c r="E29" s="354">
        <v>0.47</v>
      </c>
      <c r="F29" s="354">
        <v>0.55000000000000004</v>
      </c>
      <c r="G29" s="354">
        <v>0.75</v>
      </c>
      <c r="H29" s="109">
        <v>0.8</v>
      </c>
      <c r="I29" s="109">
        <v>0.75000080221658327</v>
      </c>
      <c r="J29" s="109">
        <v>0.85</v>
      </c>
    </row>
    <row r="30" spans="2:10" x14ac:dyDescent="0.3">
      <c r="B30" s="789"/>
      <c r="C30" s="277"/>
      <c r="D30" s="277" t="s">
        <v>16</v>
      </c>
      <c r="E30" s="276"/>
      <c r="F30" s="276"/>
      <c r="G30" s="276"/>
      <c r="H30" s="276"/>
      <c r="I30" s="276"/>
      <c r="J30" s="276"/>
    </row>
    <row r="31" spans="2:10" x14ac:dyDescent="0.3">
      <c r="B31" s="275" t="s">
        <v>60</v>
      </c>
      <c r="C31" s="275"/>
      <c r="D31" s="275"/>
      <c r="E31" s="276"/>
      <c r="F31" s="276"/>
      <c r="G31" s="276"/>
      <c r="H31" s="276"/>
      <c r="I31" s="276"/>
      <c r="J31" s="276"/>
    </row>
    <row r="32" spans="2:10" x14ac:dyDescent="0.3">
      <c r="B32" s="782" t="s">
        <v>61</v>
      </c>
      <c r="C32" s="277"/>
      <c r="D32" s="277" t="s">
        <v>589</v>
      </c>
      <c r="E32" s="483"/>
      <c r="F32" s="482">
        <v>0.35</v>
      </c>
      <c r="G32" s="482">
        <v>0.45</v>
      </c>
      <c r="H32" s="482">
        <v>0.55000000000000004</v>
      </c>
      <c r="I32" s="520"/>
      <c r="J32" s="109">
        <v>0.5</v>
      </c>
    </row>
    <row r="33" spans="2:10" ht="22.8" x14ac:dyDescent="0.3">
      <c r="B33" s="790"/>
      <c r="C33" s="457"/>
      <c r="D33" s="457" t="s">
        <v>590</v>
      </c>
      <c r="E33" s="484"/>
      <c r="F33" s="485">
        <v>0.28000000000000003</v>
      </c>
      <c r="G33" s="485">
        <v>0.36</v>
      </c>
      <c r="H33" s="485">
        <f>0.8*H32</f>
        <v>0.44000000000000006</v>
      </c>
      <c r="I33" s="521"/>
      <c r="J33" s="458">
        <v>0.5</v>
      </c>
    </row>
    <row r="34" spans="2:10" x14ac:dyDescent="0.3">
      <c r="B34" s="782"/>
      <c r="C34" s="277"/>
      <c r="D34" s="277" t="s">
        <v>16</v>
      </c>
      <c r="E34" s="276"/>
      <c r="F34" s="276"/>
      <c r="G34" s="276"/>
      <c r="H34" s="276"/>
      <c r="I34" s="276"/>
      <c r="J34" s="276"/>
    </row>
    <row r="35" spans="2:10" x14ac:dyDescent="0.3">
      <c r="B35" s="275" t="s">
        <v>63</v>
      </c>
      <c r="C35" s="275"/>
      <c r="D35" s="275"/>
      <c r="E35" s="276"/>
      <c r="F35" s="276"/>
      <c r="G35" s="276"/>
      <c r="H35" s="276"/>
      <c r="I35" s="276"/>
      <c r="J35" s="276"/>
    </row>
    <row r="36" spans="2:10" x14ac:dyDescent="0.3">
      <c r="B36" s="782" t="s">
        <v>64</v>
      </c>
      <c r="C36" s="277"/>
      <c r="D36" s="277" t="s">
        <v>14</v>
      </c>
      <c r="E36" s="354">
        <v>0.3</v>
      </c>
      <c r="F36" s="354">
        <v>0.7</v>
      </c>
      <c r="G36" s="482">
        <v>0.8</v>
      </c>
      <c r="H36" s="482">
        <v>0.85</v>
      </c>
      <c r="I36" s="482">
        <v>0.45</v>
      </c>
      <c r="J36" s="279">
        <v>0.6</v>
      </c>
    </row>
    <row r="37" spans="2:10" x14ac:dyDescent="0.3">
      <c r="B37" s="782"/>
      <c r="C37" s="277"/>
      <c r="D37" s="277" t="s">
        <v>16</v>
      </c>
      <c r="E37" s="276"/>
      <c r="F37" s="276"/>
      <c r="G37" s="276"/>
      <c r="H37" s="276"/>
      <c r="I37" s="276"/>
      <c r="J37" s="276"/>
    </row>
    <row r="38" spans="2:10" x14ac:dyDescent="0.3">
      <c r="B38" s="275" t="s">
        <v>65</v>
      </c>
      <c r="C38" s="275"/>
      <c r="D38" s="275"/>
      <c r="E38" s="276"/>
      <c r="F38" s="276"/>
      <c r="G38" s="276"/>
      <c r="H38" s="276"/>
      <c r="I38" s="276"/>
      <c r="J38" s="276"/>
    </row>
    <row r="39" spans="2:10" x14ac:dyDescent="0.3">
      <c r="B39" s="789" t="s">
        <v>66</v>
      </c>
      <c r="C39" s="277"/>
      <c r="D39" s="277" t="s">
        <v>14</v>
      </c>
      <c r="E39" s="520"/>
      <c r="F39" s="520"/>
      <c r="G39" s="279">
        <v>0.12</v>
      </c>
      <c r="H39" s="279">
        <v>0.15</v>
      </c>
      <c r="I39" s="520"/>
      <c r="J39" s="279">
        <v>0.17</v>
      </c>
    </row>
    <row r="40" spans="2:10" x14ac:dyDescent="0.3">
      <c r="B40" s="789"/>
      <c r="C40" s="277"/>
      <c r="D40" s="277" t="s">
        <v>16</v>
      </c>
      <c r="E40" s="276"/>
      <c r="F40" s="276"/>
      <c r="G40" s="276"/>
      <c r="H40" s="276"/>
      <c r="I40" s="276"/>
      <c r="J40" s="276"/>
    </row>
    <row r="41" spans="2:10" x14ac:dyDescent="0.3">
      <c r="B41" s="275" t="s">
        <v>67</v>
      </c>
      <c r="C41" s="275"/>
      <c r="D41" s="275"/>
      <c r="E41" s="276"/>
      <c r="F41" s="276"/>
      <c r="G41" s="276"/>
      <c r="H41" s="276"/>
      <c r="I41" s="276"/>
      <c r="J41" s="276"/>
    </row>
    <row r="42" spans="2:10" x14ac:dyDescent="0.3">
      <c r="B42" s="789" t="s">
        <v>68</v>
      </c>
      <c r="C42" s="280" t="s">
        <v>216</v>
      </c>
      <c r="D42" s="277" t="s">
        <v>14</v>
      </c>
      <c r="E42" s="520"/>
      <c r="F42" s="520"/>
      <c r="G42" s="520"/>
      <c r="H42" s="520"/>
      <c r="I42" s="425">
        <v>0.8</v>
      </c>
      <c r="J42" s="279">
        <v>0.8</v>
      </c>
    </row>
    <row r="43" spans="2:10" x14ac:dyDescent="0.3">
      <c r="B43" s="789"/>
      <c r="C43" s="280"/>
      <c r="D43" s="277" t="s">
        <v>16</v>
      </c>
      <c r="E43" s="276"/>
      <c r="F43" s="276"/>
      <c r="G43" s="276"/>
      <c r="H43" s="276"/>
      <c r="I43" s="276"/>
      <c r="J43" s="279"/>
    </row>
    <row r="44" spans="2:10" x14ac:dyDescent="0.3">
      <c r="B44" s="789"/>
      <c r="C44" s="280" t="s">
        <v>217</v>
      </c>
      <c r="D44" s="277" t="s">
        <v>14</v>
      </c>
      <c r="E44" s="520"/>
      <c r="F44" s="520"/>
      <c r="G44" s="520"/>
      <c r="H44" s="520"/>
      <c r="I44" s="425">
        <f>'Tab A (Logframe)'!I104/208</f>
        <v>0.6</v>
      </c>
      <c r="J44" s="279">
        <v>0.6</v>
      </c>
    </row>
    <row r="45" spans="2:10" x14ac:dyDescent="0.3">
      <c r="B45" s="789"/>
      <c r="C45" s="280"/>
      <c r="D45" s="277" t="s">
        <v>16</v>
      </c>
      <c r="E45" s="276"/>
      <c r="F45" s="276"/>
      <c r="G45" s="276"/>
      <c r="H45" s="276"/>
      <c r="I45" s="276"/>
      <c r="J45" s="276"/>
    </row>
    <row r="46" spans="2:10" x14ac:dyDescent="0.3">
      <c r="B46" s="275" t="s">
        <v>72</v>
      </c>
      <c r="C46" s="275"/>
      <c r="D46" s="275"/>
      <c r="E46" s="276"/>
      <c r="F46" s="276"/>
      <c r="G46" s="276"/>
      <c r="H46" s="276"/>
      <c r="I46" s="276"/>
      <c r="J46" s="276"/>
    </row>
    <row r="47" spans="2:10" x14ac:dyDescent="0.3">
      <c r="B47" s="789" t="s">
        <v>73</v>
      </c>
      <c r="C47" s="277"/>
      <c r="D47" s="277" t="s">
        <v>14</v>
      </c>
      <c r="E47" s="276"/>
      <c r="F47" s="276"/>
      <c r="G47" s="276"/>
      <c r="H47" s="276"/>
      <c r="I47" s="276"/>
      <c r="J47" s="276"/>
    </row>
    <row r="48" spans="2:10" x14ac:dyDescent="0.3">
      <c r="B48" s="789"/>
      <c r="C48" s="277"/>
      <c r="D48" s="277" t="s">
        <v>16</v>
      </c>
      <c r="E48" s="276"/>
      <c r="F48" s="276"/>
      <c r="G48" s="276"/>
      <c r="H48" s="276"/>
      <c r="I48" s="276"/>
      <c r="J48" s="276"/>
    </row>
    <row r="49" spans="2:10" x14ac:dyDescent="0.3">
      <c r="B49" s="275" t="s">
        <v>77</v>
      </c>
      <c r="C49" s="275"/>
      <c r="D49" s="275"/>
      <c r="E49" s="276"/>
      <c r="F49" s="276"/>
      <c r="G49" s="276"/>
      <c r="H49" s="276"/>
      <c r="I49" s="276"/>
      <c r="J49" s="276"/>
    </row>
    <row r="50" spans="2:10" x14ac:dyDescent="0.3">
      <c r="B50" s="789" t="s">
        <v>78</v>
      </c>
      <c r="C50" s="277"/>
      <c r="D50" s="277" t="s">
        <v>14</v>
      </c>
      <c r="E50" s="276"/>
      <c r="F50" s="276"/>
      <c r="G50" s="276"/>
      <c r="H50" s="276"/>
      <c r="I50" s="276"/>
      <c r="J50" s="276"/>
    </row>
    <row r="51" spans="2:10" x14ac:dyDescent="0.3">
      <c r="B51" s="789"/>
      <c r="C51" s="277"/>
      <c r="D51" s="277" t="s">
        <v>16</v>
      </c>
      <c r="E51" s="276"/>
      <c r="F51" s="276"/>
      <c r="G51" s="276"/>
      <c r="H51" s="276"/>
      <c r="I51" s="276"/>
      <c r="J51" s="276"/>
    </row>
    <row r="52" spans="2:10" x14ac:dyDescent="0.3">
      <c r="B52" s="278" t="s">
        <v>82</v>
      </c>
      <c r="C52" s="278"/>
      <c r="D52" s="278"/>
      <c r="E52" s="276"/>
      <c r="F52" s="276"/>
      <c r="G52" s="276"/>
      <c r="H52" s="276"/>
      <c r="I52" s="276"/>
      <c r="J52" s="276"/>
    </row>
    <row r="53" spans="2:10" x14ac:dyDescent="0.3">
      <c r="B53" s="782" t="s">
        <v>84</v>
      </c>
      <c r="C53" s="277"/>
      <c r="D53" s="277" t="s">
        <v>14</v>
      </c>
      <c r="E53" s="276"/>
      <c r="F53" s="276"/>
      <c r="G53" s="276"/>
      <c r="H53" s="276"/>
      <c r="I53" s="279">
        <v>1</v>
      </c>
      <c r="J53" s="279">
        <v>1</v>
      </c>
    </row>
    <row r="54" spans="2:10" x14ac:dyDescent="0.3">
      <c r="B54" s="782"/>
      <c r="C54" s="277"/>
      <c r="D54" s="277" t="s">
        <v>16</v>
      </c>
      <c r="E54" s="276"/>
      <c r="F54" s="276"/>
      <c r="G54" s="276"/>
      <c r="H54" s="276"/>
      <c r="I54" s="276"/>
      <c r="J54" s="276"/>
    </row>
    <row r="55" spans="2:10" x14ac:dyDescent="0.3">
      <c r="B55" s="275" t="s">
        <v>88</v>
      </c>
      <c r="C55" s="275"/>
      <c r="D55" s="275"/>
      <c r="E55" s="276"/>
      <c r="F55" s="276"/>
      <c r="G55" s="276"/>
      <c r="H55" s="276"/>
      <c r="I55" s="276"/>
      <c r="J55" s="276"/>
    </row>
    <row r="56" spans="2:10" x14ac:dyDescent="0.3">
      <c r="B56" s="782" t="s">
        <v>90</v>
      </c>
      <c r="C56" s="277"/>
      <c r="D56" s="277" t="s">
        <v>14</v>
      </c>
      <c r="E56" s="483"/>
      <c r="F56" s="483"/>
      <c r="G56" s="482">
        <v>0.85</v>
      </c>
      <c r="H56" s="482">
        <v>0.9</v>
      </c>
      <c r="I56" s="482">
        <v>0.95</v>
      </c>
      <c r="J56" s="279">
        <v>0.96</v>
      </c>
    </row>
    <row r="57" spans="2:10" x14ac:dyDescent="0.3">
      <c r="B57" s="782"/>
      <c r="C57" s="277"/>
      <c r="D57" s="277" t="s">
        <v>16</v>
      </c>
      <c r="E57" s="483"/>
      <c r="F57" s="483"/>
      <c r="G57" s="483"/>
      <c r="H57" s="483"/>
      <c r="I57" s="483"/>
      <c r="J57" s="276"/>
    </row>
    <row r="58" spans="2:10" x14ac:dyDescent="0.3">
      <c r="B58" s="275" t="s">
        <v>92</v>
      </c>
      <c r="C58" s="275"/>
      <c r="D58" s="275"/>
      <c r="E58" s="483"/>
      <c r="F58" s="483"/>
      <c r="G58" s="483"/>
      <c r="H58" s="483"/>
      <c r="I58" s="483"/>
      <c r="J58" s="276"/>
    </row>
    <row r="59" spans="2:10" x14ac:dyDescent="0.3">
      <c r="B59" s="782" t="s">
        <v>93</v>
      </c>
      <c r="C59" s="277"/>
      <c r="D59" s="277" t="s">
        <v>14</v>
      </c>
      <c r="E59" s="483"/>
      <c r="F59" s="483"/>
      <c r="G59" s="482">
        <v>0.35</v>
      </c>
      <c r="H59" s="482">
        <v>0.5</v>
      </c>
      <c r="I59" s="482">
        <v>0.6</v>
      </c>
      <c r="J59" s="279">
        <v>0.7</v>
      </c>
    </row>
    <row r="60" spans="2:10" x14ac:dyDescent="0.3">
      <c r="B60" s="782"/>
      <c r="C60" s="277"/>
      <c r="D60" s="277" t="s">
        <v>16</v>
      </c>
      <c r="E60" s="483"/>
      <c r="F60" s="483"/>
      <c r="G60" s="483"/>
      <c r="H60" s="483"/>
      <c r="I60" s="483"/>
      <c r="J60" s="276"/>
    </row>
    <row r="61" spans="2:10" x14ac:dyDescent="0.3">
      <c r="B61" s="275" t="s">
        <v>96</v>
      </c>
      <c r="C61" s="275"/>
      <c r="D61" s="275"/>
      <c r="E61" s="483"/>
      <c r="F61" s="483"/>
      <c r="G61" s="483"/>
      <c r="H61" s="483"/>
      <c r="I61" s="483"/>
      <c r="J61" s="276"/>
    </row>
    <row r="62" spans="2:10" x14ac:dyDescent="0.3">
      <c r="B62" s="782" t="s">
        <v>98</v>
      </c>
      <c r="C62" s="277"/>
      <c r="D62" s="277" t="s">
        <v>14</v>
      </c>
      <c r="E62" s="483"/>
      <c r="F62" s="276"/>
      <c r="G62" s="482">
        <v>0.35</v>
      </c>
      <c r="H62" s="482">
        <v>0.6</v>
      </c>
      <c r="I62" s="520"/>
      <c r="J62" s="279">
        <v>0.94</v>
      </c>
    </row>
    <row r="63" spans="2:10" x14ac:dyDescent="0.3">
      <c r="B63" s="782"/>
      <c r="C63" s="277"/>
      <c r="D63" s="277" t="s">
        <v>16</v>
      </c>
      <c r="E63" s="483"/>
      <c r="F63" s="483"/>
      <c r="G63" s="483"/>
      <c r="H63" s="483"/>
      <c r="I63" s="483"/>
      <c r="J63" s="276"/>
    </row>
    <row r="64" spans="2:10" x14ac:dyDescent="0.3">
      <c r="B64" s="278" t="s">
        <v>99</v>
      </c>
      <c r="C64" s="278"/>
      <c r="D64" s="278"/>
      <c r="E64" s="483"/>
      <c r="F64" s="483"/>
      <c r="G64" s="483"/>
      <c r="H64" s="483"/>
      <c r="I64" s="483"/>
      <c r="J64" s="276"/>
    </row>
    <row r="65" spans="2:10" x14ac:dyDescent="0.3">
      <c r="B65" s="782" t="s">
        <v>100</v>
      </c>
      <c r="C65" s="277"/>
      <c r="D65" s="277" t="s">
        <v>14</v>
      </c>
      <c r="E65" s="483"/>
      <c r="F65" s="483"/>
      <c r="G65" s="482">
        <v>0.85</v>
      </c>
      <c r="H65" s="482">
        <v>0.9</v>
      </c>
      <c r="I65" s="482">
        <v>0.9</v>
      </c>
      <c r="J65" s="279">
        <v>0.98</v>
      </c>
    </row>
    <row r="66" spans="2:10" x14ac:dyDescent="0.3">
      <c r="B66" s="782"/>
      <c r="C66" s="277"/>
      <c r="D66" s="277" t="s">
        <v>16</v>
      </c>
      <c r="E66" s="276"/>
      <c r="F66" s="276"/>
      <c r="G66" s="276"/>
      <c r="H66" s="276"/>
      <c r="I66" s="276"/>
      <c r="J66" s="276"/>
    </row>
    <row r="67" spans="2:10" x14ac:dyDescent="0.3">
      <c r="B67" s="275" t="s">
        <v>101</v>
      </c>
      <c r="C67" s="275"/>
      <c r="D67" s="275"/>
      <c r="E67" s="276"/>
      <c r="F67" s="276"/>
      <c r="G67" s="276"/>
      <c r="H67" s="276"/>
      <c r="I67" s="276"/>
      <c r="J67" s="276"/>
    </row>
    <row r="68" spans="2:10" x14ac:dyDescent="0.3">
      <c r="B68" s="782" t="s">
        <v>102</v>
      </c>
      <c r="C68" s="277"/>
      <c r="D68" s="277" t="s">
        <v>14</v>
      </c>
      <c r="E68" s="276"/>
      <c r="F68" s="276"/>
      <c r="G68" s="276"/>
      <c r="H68" s="276"/>
      <c r="I68" s="276"/>
      <c r="J68" s="276"/>
    </row>
    <row r="69" spans="2:10" x14ac:dyDescent="0.3">
      <c r="B69" s="782"/>
      <c r="C69" s="277"/>
      <c r="D69" s="277" t="s">
        <v>16</v>
      </c>
      <c r="E69" s="276"/>
      <c r="F69" s="276"/>
      <c r="G69" s="276"/>
      <c r="H69" s="276"/>
      <c r="I69" s="276"/>
      <c r="J69" s="276"/>
    </row>
    <row r="70" spans="2:10" x14ac:dyDescent="0.3">
      <c r="B70" s="278" t="s">
        <v>104</v>
      </c>
      <c r="C70" s="278"/>
      <c r="D70" s="278"/>
      <c r="E70" s="276"/>
      <c r="F70" s="276"/>
      <c r="G70" s="276"/>
      <c r="H70" s="276"/>
      <c r="I70" s="276"/>
      <c r="J70" s="276"/>
    </row>
    <row r="71" spans="2:10" x14ac:dyDescent="0.3">
      <c r="B71" s="782" t="s">
        <v>106</v>
      </c>
      <c r="C71" s="277"/>
      <c r="D71" s="277" t="s">
        <v>14</v>
      </c>
      <c r="E71" s="276"/>
      <c r="F71" s="276"/>
      <c r="G71" s="276"/>
      <c r="H71" s="276"/>
      <c r="I71" s="276"/>
      <c r="J71" s="276"/>
    </row>
    <row r="72" spans="2:10" x14ac:dyDescent="0.3">
      <c r="B72" s="782"/>
      <c r="C72" s="277"/>
      <c r="D72" s="277" t="s">
        <v>16</v>
      </c>
      <c r="E72" s="276"/>
      <c r="F72" s="276"/>
      <c r="G72" s="276"/>
      <c r="H72" s="276"/>
      <c r="I72" s="276"/>
      <c r="J72" s="276"/>
    </row>
    <row r="73" spans="2:10" x14ac:dyDescent="0.3">
      <c r="B73" s="278" t="s">
        <v>108</v>
      </c>
      <c r="C73" s="278"/>
      <c r="D73" s="278"/>
      <c r="E73" s="276"/>
      <c r="F73" s="276"/>
      <c r="G73" s="276"/>
      <c r="H73" s="276"/>
      <c r="I73" s="276"/>
      <c r="J73" s="276"/>
    </row>
    <row r="74" spans="2:10" x14ac:dyDescent="0.3">
      <c r="B74" s="782" t="s">
        <v>116</v>
      </c>
      <c r="C74" s="277"/>
      <c r="D74" s="277" t="s">
        <v>14</v>
      </c>
      <c r="E74" s="276"/>
      <c r="F74" s="276"/>
      <c r="G74" s="276"/>
      <c r="H74" s="276"/>
      <c r="I74" s="276"/>
      <c r="J74" s="276"/>
    </row>
    <row r="75" spans="2:10" x14ac:dyDescent="0.3">
      <c r="B75" s="782"/>
      <c r="C75" s="277"/>
      <c r="D75" s="277" t="s">
        <v>16</v>
      </c>
      <c r="E75" s="276"/>
      <c r="F75" s="276"/>
      <c r="G75" s="276"/>
      <c r="H75" s="276"/>
      <c r="I75" s="276"/>
      <c r="J75" s="276"/>
    </row>
    <row r="76" spans="2:10" x14ac:dyDescent="0.3">
      <c r="B76" s="278" t="s">
        <v>109</v>
      </c>
      <c r="C76" s="278"/>
      <c r="D76" s="278"/>
      <c r="E76" s="276"/>
      <c r="F76" s="276"/>
      <c r="G76" s="276"/>
      <c r="H76" s="276"/>
      <c r="I76" s="276"/>
      <c r="J76" s="276"/>
    </row>
    <row r="77" spans="2:10" x14ac:dyDescent="0.3">
      <c r="B77" s="782" t="s">
        <v>117</v>
      </c>
      <c r="C77" s="277"/>
      <c r="D77" s="277" t="s">
        <v>14</v>
      </c>
      <c r="E77" s="276"/>
      <c r="F77" s="276"/>
      <c r="G77" s="276"/>
      <c r="H77" s="276"/>
      <c r="I77" s="276"/>
      <c r="J77" s="276"/>
    </row>
    <row r="78" spans="2:10" x14ac:dyDescent="0.3">
      <c r="B78" s="782"/>
      <c r="C78" s="277"/>
      <c r="D78" s="277" t="s">
        <v>16</v>
      </c>
      <c r="E78" s="276"/>
      <c r="F78" s="276"/>
      <c r="G78" s="276"/>
      <c r="H78" s="276"/>
      <c r="I78" s="276"/>
      <c r="J78" s="276"/>
    </row>
    <row r="79" spans="2:10" x14ac:dyDescent="0.3">
      <c r="B79" s="278" t="s">
        <v>110</v>
      </c>
      <c r="C79" s="278"/>
      <c r="D79" s="278"/>
      <c r="E79" s="276"/>
      <c r="F79" s="276"/>
      <c r="G79" s="276"/>
      <c r="H79" s="276"/>
      <c r="I79" s="276"/>
      <c r="J79" s="276"/>
    </row>
    <row r="80" spans="2:10" x14ac:dyDescent="0.3">
      <c r="B80" s="782" t="s">
        <v>112</v>
      </c>
      <c r="C80" s="277"/>
      <c r="D80" s="277" t="s">
        <v>14</v>
      </c>
      <c r="E80" s="276"/>
      <c r="F80" s="276"/>
      <c r="G80" s="276"/>
      <c r="H80" s="276"/>
      <c r="I80" s="276"/>
      <c r="J80" s="276"/>
    </row>
    <row r="81" spans="2:10" x14ac:dyDescent="0.3">
      <c r="B81" s="782"/>
      <c r="C81" s="277"/>
      <c r="D81" s="277" t="s">
        <v>16</v>
      </c>
      <c r="E81" s="276"/>
      <c r="F81" s="276"/>
      <c r="G81" s="276"/>
      <c r="H81" s="276"/>
      <c r="I81" s="276"/>
      <c r="J81" s="276"/>
    </row>
    <row r="82" spans="2:10" x14ac:dyDescent="0.3">
      <c r="B82" s="1"/>
      <c r="C82" s="1"/>
      <c r="D82" s="1"/>
    </row>
    <row r="83" spans="2:10" x14ac:dyDescent="0.3">
      <c r="B83" s="1"/>
      <c r="C83" s="1"/>
      <c r="D83" s="1"/>
    </row>
  </sheetData>
  <mergeCells count="23">
    <mergeCell ref="A2:A4"/>
    <mergeCell ref="A1:J1"/>
    <mergeCell ref="B56:B57"/>
    <mergeCell ref="B23:B24"/>
    <mergeCell ref="B26:B27"/>
    <mergeCell ref="B29:B30"/>
    <mergeCell ref="B32:B34"/>
    <mergeCell ref="B36:B37"/>
    <mergeCell ref="B39:B40"/>
    <mergeCell ref="B42:B45"/>
    <mergeCell ref="B47:B48"/>
    <mergeCell ref="B50:B51"/>
    <mergeCell ref="B53:B54"/>
    <mergeCell ref="B8:B9"/>
    <mergeCell ref="B2:J4"/>
    <mergeCell ref="B77:B78"/>
    <mergeCell ref="B80:B81"/>
    <mergeCell ref="B59:B60"/>
    <mergeCell ref="B62:B63"/>
    <mergeCell ref="B65:B66"/>
    <mergeCell ref="B68:B69"/>
    <mergeCell ref="B71:B72"/>
    <mergeCell ref="B74:B75"/>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12"/>
  <sheetViews>
    <sheetView topLeftCell="A112" workbookViewId="0">
      <selection activeCell="A107" sqref="A107:A112"/>
    </sheetView>
  </sheetViews>
  <sheetFormatPr defaultColWidth="9.21875" defaultRowHeight="13.8" x14ac:dyDescent="0.3"/>
  <cols>
    <col min="1" max="1" width="20.21875" style="288" customWidth="1"/>
    <col min="2" max="5" width="10" style="288" customWidth="1"/>
    <col min="6" max="6" width="16.44140625" style="288" customWidth="1"/>
    <col min="7" max="7" width="15.44140625" style="288" bestFit="1" customWidth="1"/>
    <col min="8" max="8" width="12.77734375" style="358" customWidth="1"/>
    <col min="9" max="16384" width="9.21875" style="288"/>
  </cols>
  <sheetData>
    <row r="1" spans="1:6" s="288" customFormat="1" x14ac:dyDescent="0.3">
      <c r="A1" s="806" t="s">
        <v>258</v>
      </c>
      <c r="B1" s="806"/>
      <c r="C1" s="288">
        <v>5.8</v>
      </c>
    </row>
    <row r="2" spans="1:6" s="288" customFormat="1" x14ac:dyDescent="0.3">
      <c r="A2" s="806" t="s">
        <v>259</v>
      </c>
      <c r="B2" s="806"/>
      <c r="C2" s="288">
        <v>5.4</v>
      </c>
    </row>
    <row r="3" spans="1:6" s="288" customFormat="1" ht="14.4" thickBot="1" x14ac:dyDescent="0.35"/>
    <row r="4" spans="1:6" s="288" customFormat="1" ht="14.4" thickBot="1" x14ac:dyDescent="0.35">
      <c r="A4" s="807" t="s">
        <v>260</v>
      </c>
      <c r="B4" s="808"/>
      <c r="C4" s="808"/>
      <c r="D4" s="808"/>
      <c r="E4" s="808"/>
      <c r="F4" s="809"/>
    </row>
    <row r="5" spans="1:6" s="288" customFormat="1" ht="14.4" thickBot="1" x14ac:dyDescent="0.35">
      <c r="A5" s="348"/>
      <c r="B5" s="348"/>
      <c r="C5" s="348"/>
      <c r="D5" s="348"/>
      <c r="E5" s="348"/>
      <c r="F5" s="348"/>
    </row>
    <row r="6" spans="1:6" s="288" customFormat="1" x14ac:dyDescent="0.3">
      <c r="A6" s="810" t="s">
        <v>219</v>
      </c>
      <c r="B6" s="811"/>
      <c r="C6" s="812"/>
    </row>
    <row r="7" spans="1:6" s="288" customFormat="1" x14ac:dyDescent="0.3">
      <c r="A7" s="289" t="s">
        <v>220</v>
      </c>
      <c r="B7" s="290" t="s">
        <v>221</v>
      </c>
      <c r="C7" s="291"/>
    </row>
    <row r="8" spans="1:6" s="288" customFormat="1" x14ac:dyDescent="0.3">
      <c r="A8" s="292" t="s">
        <v>222</v>
      </c>
      <c r="B8" s="293">
        <v>0.8</v>
      </c>
      <c r="C8" s="294">
        <f>B8/SUM(B$8:B$17)</f>
        <v>0.1</v>
      </c>
    </row>
    <row r="9" spans="1:6" s="288" customFormat="1" x14ac:dyDescent="0.3">
      <c r="A9" s="292" t="s">
        <v>223</v>
      </c>
      <c r="B9" s="293">
        <v>0</v>
      </c>
      <c r="C9" s="294">
        <f t="shared" ref="C9:C17" si="0">B9/SUM(B$8:B$17)</f>
        <v>0</v>
      </c>
    </row>
    <row r="10" spans="1:6" s="288" customFormat="1" x14ac:dyDescent="0.3">
      <c r="A10" s="292" t="s">
        <v>224</v>
      </c>
      <c r="B10" s="293">
        <v>0.1</v>
      </c>
      <c r="C10" s="294">
        <f t="shared" si="0"/>
        <v>1.2500000000000001E-2</v>
      </c>
    </row>
    <row r="11" spans="1:6" s="288" customFormat="1" x14ac:dyDescent="0.3">
      <c r="A11" s="292" t="s">
        <v>225</v>
      </c>
      <c r="B11" s="293">
        <v>0.7</v>
      </c>
      <c r="C11" s="294">
        <f t="shared" si="0"/>
        <v>8.7499999999999994E-2</v>
      </c>
    </row>
    <row r="12" spans="1:6" s="288" customFormat="1" x14ac:dyDescent="0.3">
      <c r="A12" s="292" t="s">
        <v>226</v>
      </c>
      <c r="B12" s="293">
        <v>0.3</v>
      </c>
      <c r="C12" s="294">
        <f t="shared" si="0"/>
        <v>3.7499999999999999E-2</v>
      </c>
    </row>
    <row r="13" spans="1:6" s="288" customFormat="1" x14ac:dyDescent="0.3">
      <c r="A13" s="292" t="s">
        <v>227</v>
      </c>
      <c r="B13" s="293">
        <v>1</v>
      </c>
      <c r="C13" s="294">
        <f t="shared" si="0"/>
        <v>0.125</v>
      </c>
    </row>
    <row r="14" spans="1:6" s="288" customFormat="1" x14ac:dyDescent="0.3">
      <c r="A14" s="292" t="s">
        <v>228</v>
      </c>
      <c r="B14" s="293">
        <v>2.5</v>
      </c>
      <c r="C14" s="294">
        <f t="shared" si="0"/>
        <v>0.3125</v>
      </c>
    </row>
    <row r="15" spans="1:6" s="288" customFormat="1" x14ac:dyDescent="0.3">
      <c r="A15" s="292" t="s">
        <v>229</v>
      </c>
      <c r="B15" s="293">
        <v>0.3</v>
      </c>
      <c r="C15" s="294">
        <f t="shared" si="0"/>
        <v>3.7499999999999999E-2</v>
      </c>
    </row>
    <row r="16" spans="1:6" s="288" customFormat="1" x14ac:dyDescent="0.3">
      <c r="A16" s="292" t="s">
        <v>230</v>
      </c>
      <c r="B16" s="293">
        <v>2.2999999999999998</v>
      </c>
      <c r="C16" s="294">
        <f t="shared" si="0"/>
        <v>0.28749999999999998</v>
      </c>
    </row>
    <row r="17" spans="1:8" ht="14.4" thickBot="1" x14ac:dyDescent="0.35">
      <c r="A17" s="295" t="s">
        <v>231</v>
      </c>
      <c r="B17" s="296">
        <v>0</v>
      </c>
      <c r="C17" s="294">
        <f t="shared" si="0"/>
        <v>0</v>
      </c>
    </row>
    <row r="18" spans="1:8" ht="14.4" thickBot="1" x14ac:dyDescent="0.35">
      <c r="A18" s="297"/>
      <c r="B18" s="293"/>
      <c r="C18" s="379"/>
    </row>
    <row r="19" spans="1:8" ht="12.75" customHeight="1" x14ac:dyDescent="0.3">
      <c r="A19" s="813" t="s">
        <v>232</v>
      </c>
      <c r="B19" s="814"/>
      <c r="C19" s="814"/>
      <c r="D19" s="814"/>
      <c r="E19" s="814"/>
      <c r="F19" s="814"/>
      <c r="G19" s="815"/>
    </row>
    <row r="20" spans="1:8" x14ac:dyDescent="0.3">
      <c r="A20" s="289" t="s">
        <v>220</v>
      </c>
      <c r="B20" s="299" t="s">
        <v>233</v>
      </c>
      <c r="C20" s="299" t="s">
        <v>234</v>
      </c>
      <c r="D20" s="299" t="s">
        <v>235</v>
      </c>
      <c r="E20" s="299" t="s">
        <v>236</v>
      </c>
      <c r="F20" s="299" t="s">
        <v>237</v>
      </c>
      <c r="G20" s="300" t="s">
        <v>265</v>
      </c>
      <c r="H20" s="293"/>
    </row>
    <row r="21" spans="1:8" x14ac:dyDescent="0.3">
      <c r="A21" s="292" t="s">
        <v>222</v>
      </c>
      <c r="B21" s="298">
        <v>0</v>
      </c>
      <c r="C21" s="298">
        <v>0.02</v>
      </c>
      <c r="D21" s="298">
        <v>0.01</v>
      </c>
      <c r="E21" s="298">
        <v>0.01</v>
      </c>
      <c r="F21" s="298">
        <v>0.01</v>
      </c>
      <c r="G21" s="294">
        <v>0.01</v>
      </c>
    </row>
    <row r="22" spans="1:8" x14ac:dyDescent="0.3">
      <c r="A22" s="292" t="s">
        <v>223</v>
      </c>
      <c r="B22" s="298">
        <v>0</v>
      </c>
      <c r="C22" s="298">
        <v>0</v>
      </c>
      <c r="D22" s="298">
        <v>0</v>
      </c>
      <c r="E22" s="298">
        <v>0</v>
      </c>
      <c r="F22" s="298">
        <v>0</v>
      </c>
      <c r="G22" s="294">
        <v>0</v>
      </c>
    </row>
    <row r="23" spans="1:8" x14ac:dyDescent="0.3">
      <c r="A23" s="292" t="s">
        <v>224</v>
      </c>
      <c r="B23" s="298">
        <v>0.05</v>
      </c>
      <c r="C23" s="298">
        <v>7.0000000000000007E-2</v>
      </c>
      <c r="D23" s="298">
        <v>7.0000000000000007E-2</v>
      </c>
      <c r="E23" s="298">
        <v>7.0000000000000007E-2</v>
      </c>
      <c r="F23" s="298">
        <v>0.08</v>
      </c>
      <c r="G23" s="294">
        <v>0.08</v>
      </c>
    </row>
    <row r="24" spans="1:8" x14ac:dyDescent="0.3">
      <c r="A24" s="292" t="s">
        <v>225</v>
      </c>
      <c r="B24" s="298">
        <v>0.3</v>
      </c>
      <c r="C24" s="298">
        <v>0.25</v>
      </c>
      <c r="D24" s="298">
        <v>0.24</v>
      </c>
      <c r="E24" s="298">
        <v>0.23</v>
      </c>
      <c r="F24" s="298">
        <v>0.2</v>
      </c>
      <c r="G24" s="294">
        <v>0.2</v>
      </c>
    </row>
    <row r="25" spans="1:8" x14ac:dyDescent="0.3">
      <c r="A25" s="292" t="s">
        <v>226</v>
      </c>
      <c r="B25" s="298">
        <v>0.05</v>
      </c>
      <c r="C25" s="298">
        <v>0.1</v>
      </c>
      <c r="D25" s="298">
        <v>0.12</v>
      </c>
      <c r="E25" s="298">
        <v>0.13</v>
      </c>
      <c r="F25" s="298">
        <v>0.14000000000000001</v>
      </c>
      <c r="G25" s="294">
        <v>0.14000000000000001</v>
      </c>
    </row>
    <row r="26" spans="1:8" x14ac:dyDescent="0.3">
      <c r="A26" s="292" t="s">
        <v>227</v>
      </c>
      <c r="B26" s="298">
        <v>0.3</v>
      </c>
      <c r="C26" s="298">
        <v>0.17</v>
      </c>
      <c r="D26" s="298">
        <v>0.17</v>
      </c>
      <c r="E26" s="298">
        <v>0.17</v>
      </c>
      <c r="F26" s="298">
        <v>0.17</v>
      </c>
      <c r="G26" s="294">
        <v>0.17</v>
      </c>
    </row>
    <row r="27" spans="1:8" x14ac:dyDescent="0.3">
      <c r="A27" s="292" t="s">
        <v>228</v>
      </c>
      <c r="B27" s="298">
        <v>0.09</v>
      </c>
      <c r="C27" s="298">
        <v>0.14000000000000001</v>
      </c>
      <c r="D27" s="298">
        <v>0.14000000000000001</v>
      </c>
      <c r="E27" s="298">
        <v>0.14000000000000001</v>
      </c>
      <c r="F27" s="298">
        <v>0.15</v>
      </c>
      <c r="G27" s="294">
        <v>0.15</v>
      </c>
    </row>
    <row r="28" spans="1:8" x14ac:dyDescent="0.3">
      <c r="A28" s="292" t="s">
        <v>229</v>
      </c>
      <c r="B28" s="298">
        <v>0.01</v>
      </c>
      <c r="C28" s="298">
        <v>0.05</v>
      </c>
      <c r="D28" s="298">
        <v>0.05</v>
      </c>
      <c r="E28" s="298">
        <v>0.05</v>
      </c>
      <c r="F28" s="298">
        <v>0.05</v>
      </c>
      <c r="G28" s="294">
        <v>0.05</v>
      </c>
    </row>
    <row r="29" spans="1:8" x14ac:dyDescent="0.3">
      <c r="A29" s="292" t="s">
        <v>230</v>
      </c>
      <c r="B29" s="298">
        <v>0.2</v>
      </c>
      <c r="C29" s="298">
        <v>0.2</v>
      </c>
      <c r="D29" s="298">
        <v>0.2</v>
      </c>
      <c r="E29" s="298">
        <v>0.2</v>
      </c>
      <c r="F29" s="298">
        <v>0.2</v>
      </c>
      <c r="G29" s="294">
        <v>0.2</v>
      </c>
    </row>
    <row r="30" spans="1:8" x14ac:dyDescent="0.3">
      <c r="A30" s="292" t="s">
        <v>231</v>
      </c>
      <c r="B30" s="298">
        <v>0</v>
      </c>
      <c r="C30" s="298">
        <v>0</v>
      </c>
      <c r="D30" s="298">
        <v>0</v>
      </c>
      <c r="E30" s="298">
        <v>0</v>
      </c>
      <c r="F30" s="298">
        <v>0</v>
      </c>
      <c r="G30" s="294">
        <v>0</v>
      </c>
    </row>
    <row r="31" spans="1:8" s="304" customFormat="1" ht="14.4" thickBot="1" x14ac:dyDescent="0.35">
      <c r="A31" s="301" t="s">
        <v>107</v>
      </c>
      <c r="B31" s="302">
        <f t="shared" ref="B31:G31" si="1">SUM(B21:B30)</f>
        <v>1</v>
      </c>
      <c r="C31" s="302">
        <f t="shared" si="1"/>
        <v>1.0000000000000002</v>
      </c>
      <c r="D31" s="302">
        <f t="shared" si="1"/>
        <v>1</v>
      </c>
      <c r="E31" s="302">
        <f t="shared" si="1"/>
        <v>1</v>
      </c>
      <c r="F31" s="302">
        <f t="shared" si="1"/>
        <v>1.0000000000000002</v>
      </c>
      <c r="G31" s="303">
        <f t="shared" si="1"/>
        <v>1.0000000000000002</v>
      </c>
    </row>
    <row r="32" spans="1:8" s="304" customFormat="1" x14ac:dyDescent="0.3">
      <c r="A32" s="305" t="s">
        <v>238</v>
      </c>
      <c r="B32" s="306"/>
      <c r="C32" s="306"/>
      <c r="D32" s="306"/>
      <c r="E32" s="306"/>
      <c r="F32" s="306"/>
    </row>
    <row r="33" spans="1:8" ht="14.4" thickBot="1" x14ac:dyDescent="0.35">
      <c r="A33" s="297"/>
      <c r="E33" s="307"/>
    </row>
    <row r="34" spans="1:8" x14ac:dyDescent="0.3">
      <c r="A34" s="364"/>
      <c r="B34" s="365"/>
      <c r="C34" s="365"/>
      <c r="D34" s="365"/>
      <c r="E34" s="365"/>
      <c r="F34" s="365"/>
      <c r="G34" s="366"/>
      <c r="H34" s="297"/>
    </row>
    <row r="35" spans="1:8" x14ac:dyDescent="0.3">
      <c r="A35" s="805" t="s">
        <v>239</v>
      </c>
      <c r="B35" s="804"/>
      <c r="C35" s="804"/>
      <c r="D35" s="804"/>
      <c r="E35" s="804"/>
      <c r="F35" s="804"/>
      <c r="G35" s="291"/>
      <c r="H35" s="297"/>
    </row>
    <row r="36" spans="1:8" x14ac:dyDescent="0.3">
      <c r="A36" s="289"/>
      <c r="B36" s="299" t="s">
        <v>240</v>
      </c>
      <c r="C36" s="299" t="s">
        <v>241</v>
      </c>
      <c r="D36" s="299" t="s">
        <v>242</v>
      </c>
      <c r="E36" s="299" t="s">
        <v>243</v>
      </c>
      <c r="F36" s="299" t="s">
        <v>244</v>
      </c>
      <c r="G36" s="367" t="s">
        <v>261</v>
      </c>
      <c r="H36" s="293"/>
    </row>
    <row r="37" spans="1:8" x14ac:dyDescent="0.3">
      <c r="A37" s="289"/>
      <c r="B37" s="352">
        <v>107863.3668</v>
      </c>
      <c r="C37" s="352">
        <v>163676.28864299998</v>
      </c>
      <c r="D37" s="352">
        <v>186804.58857690002</v>
      </c>
      <c r="E37" s="352">
        <v>221270.03516933805</v>
      </c>
      <c r="F37" s="352">
        <v>227908.13622441821</v>
      </c>
      <c r="G37" s="368">
        <v>341618</v>
      </c>
      <c r="H37" s="359"/>
    </row>
    <row r="38" spans="1:8" x14ac:dyDescent="0.3">
      <c r="A38" s="289" t="s">
        <v>220</v>
      </c>
      <c r="B38" s="299"/>
      <c r="C38" s="299"/>
      <c r="D38" s="299"/>
      <c r="E38" s="299"/>
      <c r="F38" s="299"/>
      <c r="G38" s="369"/>
      <c r="H38" s="350"/>
    </row>
    <row r="39" spans="1:8" x14ac:dyDescent="0.3">
      <c r="A39" s="292" t="s">
        <v>222</v>
      </c>
      <c r="B39" s="361">
        <f>B21*B37</f>
        <v>0</v>
      </c>
      <c r="C39" s="361">
        <f>C21*C37</f>
        <v>3273.5257728599995</v>
      </c>
      <c r="D39" s="361">
        <f>D21*D37</f>
        <v>1868.0458857690003</v>
      </c>
      <c r="E39" s="361">
        <f>E21*E37</f>
        <v>2212.7003516933805</v>
      </c>
      <c r="F39" s="361">
        <f>F21*F37</f>
        <v>2279.0813622441819</v>
      </c>
      <c r="G39" s="310">
        <f>$G$37*G21</f>
        <v>3416.1800000000003</v>
      </c>
      <c r="H39" s="361"/>
    </row>
    <row r="40" spans="1:8" x14ac:dyDescent="0.3">
      <c r="A40" s="292" t="s">
        <v>223</v>
      </c>
      <c r="B40" s="361">
        <f>B22*B37</f>
        <v>0</v>
      </c>
      <c r="C40" s="361">
        <f>C22*C37</f>
        <v>0</v>
      </c>
      <c r="D40" s="361">
        <f>D22*D37</f>
        <v>0</v>
      </c>
      <c r="E40" s="361">
        <f>E22*E37</f>
        <v>0</v>
      </c>
      <c r="F40" s="361">
        <f>F22*F37</f>
        <v>0</v>
      </c>
      <c r="G40" s="310">
        <f t="shared" ref="G40:G47" si="2">$G$37*G22</f>
        <v>0</v>
      </c>
      <c r="H40" s="361"/>
    </row>
    <row r="41" spans="1:8" x14ac:dyDescent="0.3">
      <c r="A41" s="292" t="s">
        <v>224</v>
      </c>
      <c r="B41" s="362">
        <f>B23*B37</f>
        <v>5393.1683400000002</v>
      </c>
      <c r="C41" s="361">
        <f>C23*C37</f>
        <v>11457.340205009999</v>
      </c>
      <c r="D41" s="361">
        <f>D23*D37</f>
        <v>13076.321200383003</v>
      </c>
      <c r="E41" s="361">
        <f>E23*E37</f>
        <v>15488.902461853664</v>
      </c>
      <c r="F41" s="361">
        <f>F23*F37</f>
        <v>18232.650897953456</v>
      </c>
      <c r="G41" s="310">
        <f t="shared" si="2"/>
        <v>27329.440000000002</v>
      </c>
      <c r="H41" s="361"/>
    </row>
    <row r="42" spans="1:8" x14ac:dyDescent="0.3">
      <c r="A42" s="292" t="s">
        <v>225</v>
      </c>
      <c r="B42" s="361">
        <f>B24*B37</f>
        <v>32359.010040000001</v>
      </c>
      <c r="C42" s="361">
        <f>C24*C37</f>
        <v>40919.072160749995</v>
      </c>
      <c r="D42" s="361">
        <f>D24*D37</f>
        <v>44833.101258456001</v>
      </c>
      <c r="E42" s="361">
        <f>E24*E37</f>
        <v>50892.108088947753</v>
      </c>
      <c r="F42" s="361">
        <f>F24*F37</f>
        <v>45581.627244883646</v>
      </c>
      <c r="G42" s="310">
        <f t="shared" si="2"/>
        <v>68323.600000000006</v>
      </c>
      <c r="H42" s="361"/>
    </row>
    <row r="43" spans="1:8" x14ac:dyDescent="0.3">
      <c r="A43" s="292" t="s">
        <v>226</v>
      </c>
      <c r="B43" s="361">
        <f>B25*B37</f>
        <v>5393.1683400000002</v>
      </c>
      <c r="C43" s="361">
        <f>C25*C37</f>
        <v>16367.628864299999</v>
      </c>
      <c r="D43" s="361">
        <f>D25*D37</f>
        <v>22416.550629228001</v>
      </c>
      <c r="E43" s="361">
        <f>E25*E37</f>
        <v>28765.104572013948</v>
      </c>
      <c r="F43" s="361">
        <f>F25*F37</f>
        <v>31907.139071418551</v>
      </c>
      <c r="G43" s="310">
        <f t="shared" si="2"/>
        <v>47826.520000000004</v>
      </c>
      <c r="H43" s="361"/>
    </row>
    <row r="44" spans="1:8" x14ac:dyDescent="0.3">
      <c r="A44" s="292" t="s">
        <v>227</v>
      </c>
      <c r="B44" s="361">
        <f>B26*B37</f>
        <v>32359.010040000001</v>
      </c>
      <c r="C44" s="361">
        <f>C26*C37</f>
        <v>27824.969069309998</v>
      </c>
      <c r="D44" s="361">
        <f>D26*D37</f>
        <v>31756.780058073004</v>
      </c>
      <c r="E44" s="361">
        <f>E26*E37</f>
        <v>37615.905978787472</v>
      </c>
      <c r="F44" s="361">
        <f>F26*F37</f>
        <v>38744.383158151097</v>
      </c>
      <c r="G44" s="310">
        <f t="shared" si="2"/>
        <v>58075.060000000005</v>
      </c>
      <c r="H44" s="361"/>
    </row>
    <row r="45" spans="1:8" x14ac:dyDescent="0.3">
      <c r="A45" s="292" t="s">
        <v>228</v>
      </c>
      <c r="B45" s="361">
        <f>B27*B37</f>
        <v>9707.7030119999999</v>
      </c>
      <c r="C45" s="361">
        <f>C27*C37</f>
        <v>22914.680410019999</v>
      </c>
      <c r="D45" s="361">
        <f>D27*D37</f>
        <v>26152.642400766006</v>
      </c>
      <c r="E45" s="362">
        <f>E27*E37</f>
        <v>30977.804923707328</v>
      </c>
      <c r="F45" s="361">
        <f>F27*F37</f>
        <v>34186.220433662733</v>
      </c>
      <c r="G45" s="310">
        <f t="shared" si="2"/>
        <v>51242.7</v>
      </c>
      <c r="H45" s="361"/>
    </row>
    <row r="46" spans="1:8" x14ac:dyDescent="0.3">
      <c r="A46" s="292" t="s">
        <v>229</v>
      </c>
      <c r="B46" s="361">
        <f>B28*B37</f>
        <v>1078.6336679999999</v>
      </c>
      <c r="C46" s="361">
        <f>C28*C37</f>
        <v>8183.8144321499994</v>
      </c>
      <c r="D46" s="361">
        <f>D28*D37</f>
        <v>9340.2294288450012</v>
      </c>
      <c r="E46" s="361">
        <f>E28*E37</f>
        <v>11063.501758466904</v>
      </c>
      <c r="F46" s="361">
        <f>F28*F37</f>
        <v>11395.406811220912</v>
      </c>
      <c r="G46" s="310">
        <f t="shared" si="2"/>
        <v>17080.900000000001</v>
      </c>
      <c r="H46" s="361"/>
    </row>
    <row r="47" spans="1:8" x14ac:dyDescent="0.3">
      <c r="A47" s="292" t="s">
        <v>230</v>
      </c>
      <c r="B47" s="361">
        <f>B29*B37</f>
        <v>21572.673360000001</v>
      </c>
      <c r="C47" s="361">
        <f>C29*C37</f>
        <v>32735.257728599998</v>
      </c>
      <c r="D47" s="361">
        <f>D29*D37</f>
        <v>37360.917715380005</v>
      </c>
      <c r="E47" s="361">
        <f>E29*E37</f>
        <v>44254.007033867616</v>
      </c>
      <c r="F47" s="361">
        <f>F29*F37</f>
        <v>45581.627244883646</v>
      </c>
      <c r="G47" s="310">
        <f t="shared" si="2"/>
        <v>68323.600000000006</v>
      </c>
      <c r="H47" s="361"/>
    </row>
    <row r="48" spans="1:8" x14ac:dyDescent="0.3">
      <c r="A48" s="292" t="s">
        <v>231</v>
      </c>
      <c r="B48" s="361">
        <f>B30*B37</f>
        <v>0</v>
      </c>
      <c r="C48" s="361">
        <f>C30*C37</f>
        <v>0</v>
      </c>
      <c r="D48" s="361">
        <f>D30*D37</f>
        <v>0</v>
      </c>
      <c r="E48" s="361">
        <f>E30*E37</f>
        <v>0</v>
      </c>
      <c r="F48" s="361">
        <f>F30*F37</f>
        <v>0</v>
      </c>
      <c r="G48" s="310">
        <f>$G$37*F30</f>
        <v>0</v>
      </c>
      <c r="H48" s="361"/>
    </row>
    <row r="49" spans="1:9" s="304" customFormat="1" ht="14.4" thickBot="1" x14ac:dyDescent="0.35">
      <c r="A49" s="301" t="s">
        <v>107</v>
      </c>
      <c r="B49" s="311">
        <f t="shared" ref="B49:G49" si="3">SUM(B39:B48)</f>
        <v>107863.36679999999</v>
      </c>
      <c r="C49" s="311">
        <f t="shared" si="3"/>
        <v>163676.28864299998</v>
      </c>
      <c r="D49" s="311">
        <f t="shared" si="3"/>
        <v>186804.58857689999</v>
      </c>
      <c r="E49" s="311">
        <f t="shared" si="3"/>
        <v>221270.03516933808</v>
      </c>
      <c r="F49" s="311">
        <f t="shared" si="3"/>
        <v>227908.13622441824</v>
      </c>
      <c r="G49" s="312">
        <f t="shared" si="3"/>
        <v>341618</v>
      </c>
      <c r="H49" s="363"/>
    </row>
    <row r="50" spans="1:9" s="304" customFormat="1" ht="14.4" thickBot="1" x14ac:dyDescent="0.35">
      <c r="A50" s="305"/>
      <c r="B50" s="306"/>
      <c r="C50" s="306"/>
      <c r="D50" s="306"/>
      <c r="E50" s="306"/>
      <c r="F50" s="306"/>
    </row>
    <row r="51" spans="1:9" x14ac:dyDescent="0.3">
      <c r="A51" s="802" t="s">
        <v>245</v>
      </c>
      <c r="B51" s="803"/>
      <c r="C51" s="803"/>
      <c r="D51" s="803"/>
      <c r="E51" s="803"/>
      <c r="F51" s="803"/>
      <c r="G51" s="357"/>
      <c r="H51" s="351"/>
    </row>
    <row r="52" spans="1:9" x14ac:dyDescent="0.3">
      <c r="A52" s="289"/>
      <c r="B52" s="299" t="s">
        <v>240</v>
      </c>
      <c r="C52" s="299" t="s">
        <v>241</v>
      </c>
      <c r="D52" s="299" t="s">
        <v>242</v>
      </c>
      <c r="E52" s="299" t="s">
        <v>243</v>
      </c>
      <c r="F52" s="299" t="s">
        <v>244</v>
      </c>
      <c r="G52" s="367" t="s">
        <v>261</v>
      </c>
      <c r="H52" s="299"/>
      <c r="I52" s="293"/>
    </row>
    <row r="53" spans="1:9" x14ac:dyDescent="0.3">
      <c r="A53" s="289"/>
      <c r="B53" s="352"/>
      <c r="C53" s="352"/>
      <c r="D53" s="352"/>
      <c r="E53" s="352"/>
      <c r="F53" s="352"/>
      <c r="G53" s="368"/>
      <c r="H53" s="313" t="s">
        <v>246</v>
      </c>
    </row>
    <row r="54" spans="1:9" x14ac:dyDescent="0.3">
      <c r="A54" s="289" t="s">
        <v>220</v>
      </c>
      <c r="B54" s="299"/>
      <c r="C54" s="299"/>
      <c r="D54" s="299"/>
      <c r="E54" s="299"/>
      <c r="F54" s="299"/>
      <c r="G54" s="369"/>
      <c r="H54" s="313" t="s">
        <v>247</v>
      </c>
    </row>
    <row r="55" spans="1:9" x14ac:dyDescent="0.3">
      <c r="A55" s="292" t="s">
        <v>222</v>
      </c>
      <c r="B55" s="361">
        <f t="shared" ref="B55:B63" si="4">B39*H55</f>
        <v>0</v>
      </c>
      <c r="C55" s="361">
        <f t="shared" ref="C55:C63" si="5">C39*H55</f>
        <v>3273.5257728599995</v>
      </c>
      <c r="D55" s="361">
        <f t="shared" ref="D55:D63" si="6">D39*H55</f>
        <v>1868.0458857690003</v>
      </c>
      <c r="E55" s="361">
        <f t="shared" ref="E55:E63" si="7">E39*H55</f>
        <v>2212.7003516933805</v>
      </c>
      <c r="F55" s="353">
        <f t="shared" ref="F55:F63" si="8">F39*H55</f>
        <v>2279.0813622441819</v>
      </c>
      <c r="G55" s="310">
        <f t="shared" ref="G55:G63" si="9">G39*H55</f>
        <v>3416.1800000000003</v>
      </c>
      <c r="H55" s="314">
        <v>1</v>
      </c>
    </row>
    <row r="56" spans="1:9" x14ac:dyDescent="0.3">
      <c r="A56" s="292" t="s">
        <v>223</v>
      </c>
      <c r="B56" s="361">
        <f t="shared" si="4"/>
        <v>0</v>
      </c>
      <c r="C56" s="361">
        <f t="shared" si="5"/>
        <v>0</v>
      </c>
      <c r="D56" s="361">
        <f t="shared" si="6"/>
        <v>0</v>
      </c>
      <c r="E56" s="361">
        <f t="shared" si="7"/>
        <v>0</v>
      </c>
      <c r="F56" s="353">
        <f t="shared" si="8"/>
        <v>0</v>
      </c>
      <c r="G56" s="310">
        <f t="shared" si="9"/>
        <v>0</v>
      </c>
      <c r="H56" s="314">
        <v>1</v>
      </c>
    </row>
    <row r="57" spans="1:9" x14ac:dyDescent="0.3">
      <c r="A57" s="292" t="s">
        <v>224</v>
      </c>
      <c r="B57" s="361">
        <f t="shared" si="4"/>
        <v>5393.1683400000002</v>
      </c>
      <c r="C57" s="361">
        <f t="shared" si="5"/>
        <v>11457.340205009999</v>
      </c>
      <c r="D57" s="361">
        <f t="shared" si="6"/>
        <v>13076.321200383003</v>
      </c>
      <c r="E57" s="361">
        <f t="shared" si="7"/>
        <v>15488.902461853664</v>
      </c>
      <c r="F57" s="353">
        <f t="shared" si="8"/>
        <v>18232.650897953456</v>
      </c>
      <c r="G57" s="310">
        <f t="shared" si="9"/>
        <v>27329.440000000002</v>
      </c>
      <c r="H57" s="314">
        <v>1</v>
      </c>
    </row>
    <row r="58" spans="1:9" x14ac:dyDescent="0.3">
      <c r="A58" s="292" t="s">
        <v>225</v>
      </c>
      <c r="B58" s="361">
        <f t="shared" si="4"/>
        <v>32359.010040000001</v>
      </c>
      <c r="C58" s="361">
        <f t="shared" si="5"/>
        <v>40919.072160749995</v>
      </c>
      <c r="D58" s="361">
        <f t="shared" si="6"/>
        <v>44833.101258456001</v>
      </c>
      <c r="E58" s="361">
        <f t="shared" si="7"/>
        <v>50892.108088947753</v>
      </c>
      <c r="F58" s="353">
        <f t="shared" si="8"/>
        <v>45581.627244883646</v>
      </c>
      <c r="G58" s="310">
        <f t="shared" si="9"/>
        <v>68323.600000000006</v>
      </c>
      <c r="H58" s="314">
        <v>1</v>
      </c>
    </row>
    <row r="59" spans="1:9" x14ac:dyDescent="0.3">
      <c r="A59" s="292" t="s">
        <v>226</v>
      </c>
      <c r="B59" s="361">
        <f t="shared" si="4"/>
        <v>5393.1683400000002</v>
      </c>
      <c r="C59" s="361">
        <f t="shared" si="5"/>
        <v>16367.628864299999</v>
      </c>
      <c r="D59" s="361">
        <f t="shared" si="6"/>
        <v>22416.550629228001</v>
      </c>
      <c r="E59" s="361">
        <f t="shared" si="7"/>
        <v>28765.104572013948</v>
      </c>
      <c r="F59" s="353">
        <f t="shared" si="8"/>
        <v>31907.139071418551</v>
      </c>
      <c r="G59" s="310">
        <f t="shared" si="9"/>
        <v>47826.520000000004</v>
      </c>
      <c r="H59" s="314">
        <v>1</v>
      </c>
    </row>
    <row r="60" spans="1:9" x14ac:dyDescent="0.3">
      <c r="A60" s="292" t="s">
        <v>227</v>
      </c>
      <c r="B60" s="361">
        <f t="shared" si="4"/>
        <v>97077.03012000001</v>
      </c>
      <c r="C60" s="361">
        <f t="shared" si="5"/>
        <v>83474.907207929995</v>
      </c>
      <c r="D60" s="361">
        <f t="shared" si="6"/>
        <v>95270.340174219018</v>
      </c>
      <c r="E60" s="361">
        <f t="shared" si="7"/>
        <v>112847.71793636242</v>
      </c>
      <c r="F60" s="353">
        <f t="shared" si="8"/>
        <v>116233.1494744533</v>
      </c>
      <c r="G60" s="310">
        <f t="shared" si="9"/>
        <v>174225.18000000002</v>
      </c>
      <c r="H60" s="314">
        <v>3</v>
      </c>
    </row>
    <row r="61" spans="1:9" x14ac:dyDescent="0.3">
      <c r="A61" s="292" t="s">
        <v>228</v>
      </c>
      <c r="B61" s="361">
        <f t="shared" si="4"/>
        <v>291231.09035999997</v>
      </c>
      <c r="C61" s="361">
        <f t="shared" si="5"/>
        <v>687440.41230059997</v>
      </c>
      <c r="D61" s="361">
        <f t="shared" si="6"/>
        <v>784579.27202298015</v>
      </c>
      <c r="E61" s="361">
        <f t="shared" si="7"/>
        <v>929334.14771121985</v>
      </c>
      <c r="F61" s="353">
        <f t="shared" si="8"/>
        <v>1025586.6130098819</v>
      </c>
      <c r="G61" s="310">
        <f t="shared" si="9"/>
        <v>1537281</v>
      </c>
      <c r="H61" s="314">
        <v>30</v>
      </c>
    </row>
    <row r="62" spans="1:9" x14ac:dyDescent="0.3">
      <c r="A62" s="292" t="s">
        <v>229</v>
      </c>
      <c r="B62" s="361">
        <f t="shared" si="4"/>
        <v>32359.010039999997</v>
      </c>
      <c r="C62" s="361">
        <f t="shared" si="5"/>
        <v>245514.43296449998</v>
      </c>
      <c r="D62" s="361">
        <f t="shared" si="6"/>
        <v>280206.88286535005</v>
      </c>
      <c r="E62" s="361">
        <f t="shared" si="7"/>
        <v>331905.05275400711</v>
      </c>
      <c r="F62" s="353">
        <f t="shared" si="8"/>
        <v>341862.20433662733</v>
      </c>
      <c r="G62" s="310">
        <f t="shared" si="9"/>
        <v>512427.00000000006</v>
      </c>
      <c r="H62" s="314">
        <v>30</v>
      </c>
    </row>
    <row r="63" spans="1:9" x14ac:dyDescent="0.3">
      <c r="A63" s="292" t="s">
        <v>230</v>
      </c>
      <c r="B63" s="361">
        <f t="shared" si="4"/>
        <v>21572.673360000001</v>
      </c>
      <c r="C63" s="361">
        <f t="shared" si="5"/>
        <v>32735.257728599998</v>
      </c>
      <c r="D63" s="361">
        <f t="shared" si="6"/>
        <v>37360.917715380005</v>
      </c>
      <c r="E63" s="361">
        <f t="shared" si="7"/>
        <v>44254.007033867616</v>
      </c>
      <c r="F63" s="353">
        <f t="shared" si="8"/>
        <v>45581.627244883646</v>
      </c>
      <c r="G63" s="310">
        <f t="shared" si="9"/>
        <v>68323.600000000006</v>
      </c>
      <c r="H63" s="314">
        <v>1</v>
      </c>
    </row>
    <row r="64" spans="1:9" ht="14.4" thickBot="1" x14ac:dyDescent="0.35">
      <c r="A64" s="295" t="s">
        <v>231</v>
      </c>
      <c r="B64" s="315">
        <f>B48*I64</f>
        <v>0</v>
      </c>
      <c r="C64" s="315">
        <f>C48*I64</f>
        <v>0</v>
      </c>
      <c r="D64" s="315">
        <f>D48*I64</f>
        <v>0</v>
      </c>
      <c r="E64" s="315">
        <f>E48*I64</f>
        <v>0</v>
      </c>
      <c r="F64" s="371">
        <f>F48*I64</f>
        <v>0</v>
      </c>
      <c r="G64" s="372">
        <f>G48*I64</f>
        <v>0</v>
      </c>
      <c r="H64" s="353"/>
    </row>
    <row r="65" spans="1:8" ht="14.4" thickBot="1" x14ac:dyDescent="0.35">
      <c r="A65" s="376"/>
      <c r="B65" s="376"/>
      <c r="C65" s="376"/>
      <c r="D65" s="376"/>
      <c r="E65" s="376"/>
      <c r="F65" s="376"/>
      <c r="G65" s="377"/>
    </row>
    <row r="66" spans="1:8" x14ac:dyDescent="0.3">
      <c r="A66" s="288" t="s">
        <v>248</v>
      </c>
      <c r="G66" s="366"/>
    </row>
    <row r="67" spans="1:8" ht="26.25" customHeight="1" x14ac:dyDescent="0.3">
      <c r="A67" s="804" t="s">
        <v>249</v>
      </c>
      <c r="B67" s="804"/>
      <c r="C67" s="804"/>
      <c r="D67" s="804"/>
      <c r="E67" s="804"/>
      <c r="F67" s="804"/>
      <c r="G67" s="291"/>
    </row>
    <row r="68" spans="1:8" x14ac:dyDescent="0.3">
      <c r="A68" s="360"/>
      <c r="B68" s="299" t="s">
        <v>240</v>
      </c>
      <c r="C68" s="299" t="s">
        <v>241</v>
      </c>
      <c r="D68" s="299" t="s">
        <v>242</v>
      </c>
      <c r="E68" s="299" t="s">
        <v>243</v>
      </c>
      <c r="F68" s="299" t="s">
        <v>244</v>
      </c>
      <c r="G68" s="367" t="s">
        <v>261</v>
      </c>
      <c r="H68" s="293" t="s">
        <v>268</v>
      </c>
    </row>
    <row r="69" spans="1:8" x14ac:dyDescent="0.3">
      <c r="A69" s="360"/>
      <c r="B69" s="352"/>
      <c r="C69" s="352"/>
      <c r="D69" s="352"/>
      <c r="E69" s="352"/>
      <c r="F69" s="352"/>
      <c r="G69" s="368"/>
      <c r="H69" s="293"/>
    </row>
    <row r="70" spans="1:8" x14ac:dyDescent="0.3">
      <c r="A70" s="360" t="s">
        <v>220</v>
      </c>
      <c r="B70" s="299"/>
      <c r="C70" s="299"/>
      <c r="D70" s="299"/>
      <c r="E70" s="299"/>
      <c r="F70" s="299"/>
      <c r="G70" s="369"/>
      <c r="H70" s="293" t="s">
        <v>267</v>
      </c>
    </row>
    <row r="71" spans="1:8" x14ac:dyDescent="0.3">
      <c r="A71" s="292" t="s">
        <v>222</v>
      </c>
      <c r="B71" s="309">
        <f t="shared" ref="B71:F79" si="10">B55*$H71</f>
        <v>0</v>
      </c>
      <c r="C71" s="309">
        <f t="shared" si="10"/>
        <v>40919.072160749995</v>
      </c>
      <c r="D71" s="309">
        <f t="shared" si="10"/>
        <v>23350.573572112502</v>
      </c>
      <c r="E71" s="309">
        <f t="shared" si="10"/>
        <v>27658.754396167256</v>
      </c>
      <c r="F71" s="309">
        <f t="shared" si="10"/>
        <v>28488.517028052273</v>
      </c>
      <c r="G71" s="310">
        <f t="shared" ref="G71:G79" si="11">G55*H71</f>
        <v>42702.25</v>
      </c>
      <c r="H71" s="288">
        <v>12.5</v>
      </c>
    </row>
    <row r="72" spans="1:8" x14ac:dyDescent="0.3">
      <c r="A72" s="292" t="s">
        <v>223</v>
      </c>
      <c r="B72" s="309">
        <f t="shared" si="10"/>
        <v>0</v>
      </c>
      <c r="C72" s="309">
        <f t="shared" si="10"/>
        <v>0</v>
      </c>
      <c r="D72" s="309">
        <f t="shared" si="10"/>
        <v>0</v>
      </c>
      <c r="E72" s="309">
        <f t="shared" si="10"/>
        <v>0</v>
      </c>
      <c r="F72" s="309">
        <f t="shared" si="10"/>
        <v>0</v>
      </c>
      <c r="G72" s="310">
        <f t="shared" si="11"/>
        <v>0</v>
      </c>
      <c r="H72" s="288">
        <v>12.5</v>
      </c>
    </row>
    <row r="73" spans="1:8" x14ac:dyDescent="0.3">
      <c r="A73" s="292" t="s">
        <v>224</v>
      </c>
      <c r="B73" s="309">
        <f t="shared" si="10"/>
        <v>20494.039691999998</v>
      </c>
      <c r="C73" s="309">
        <f t="shared" si="10"/>
        <v>43537.892779037997</v>
      </c>
      <c r="D73" s="309">
        <f t="shared" si="10"/>
        <v>49690.020561455407</v>
      </c>
      <c r="E73" s="309">
        <f t="shared" si="10"/>
        <v>58857.829355043919</v>
      </c>
      <c r="F73" s="309">
        <f t="shared" si="10"/>
        <v>69284.073412223122</v>
      </c>
      <c r="G73" s="310">
        <f t="shared" si="11"/>
        <v>103851.872</v>
      </c>
      <c r="H73" s="288">
        <v>3.8</v>
      </c>
    </row>
    <row r="74" spans="1:8" x14ac:dyDescent="0.3">
      <c r="A74" s="292" t="s">
        <v>225</v>
      </c>
      <c r="B74" s="309">
        <f t="shared" si="10"/>
        <v>8089.7525100000003</v>
      </c>
      <c r="C74" s="309">
        <f t="shared" si="10"/>
        <v>10229.768040187499</v>
      </c>
      <c r="D74" s="309">
        <f t="shared" si="10"/>
        <v>11208.275314614</v>
      </c>
      <c r="E74" s="309">
        <f t="shared" si="10"/>
        <v>12723.027022236938</v>
      </c>
      <c r="F74" s="309">
        <f t="shared" si="10"/>
        <v>11395.406811220912</v>
      </c>
      <c r="G74" s="310">
        <f t="shared" si="11"/>
        <v>17080.900000000001</v>
      </c>
      <c r="H74" s="288">
        <v>0.25</v>
      </c>
    </row>
    <row r="75" spans="1:8" x14ac:dyDescent="0.3">
      <c r="A75" s="292" t="s">
        <v>226</v>
      </c>
      <c r="B75" s="309">
        <f t="shared" si="10"/>
        <v>18876.089189999999</v>
      </c>
      <c r="C75" s="309">
        <f t="shared" si="10"/>
        <v>57286.701025049995</v>
      </c>
      <c r="D75" s="309">
        <f t="shared" si="10"/>
        <v>78457.927202298</v>
      </c>
      <c r="E75" s="309">
        <f t="shared" si="10"/>
        <v>100677.86600204882</v>
      </c>
      <c r="F75" s="309">
        <f t="shared" si="10"/>
        <v>111674.98674996493</v>
      </c>
      <c r="G75" s="310">
        <f t="shared" si="11"/>
        <v>167392.82</v>
      </c>
      <c r="H75" s="288">
        <v>3.5</v>
      </c>
    </row>
    <row r="76" spans="1:8" x14ac:dyDescent="0.3">
      <c r="A76" s="292" t="s">
        <v>227</v>
      </c>
      <c r="B76" s="309">
        <f t="shared" si="10"/>
        <v>6504.1610180400012</v>
      </c>
      <c r="C76" s="309">
        <f t="shared" si="10"/>
        <v>5592.8187829313101</v>
      </c>
      <c r="D76" s="309">
        <f t="shared" si="10"/>
        <v>6383.1127916726746</v>
      </c>
      <c r="E76" s="309">
        <f t="shared" si="10"/>
        <v>7560.7971017362825</v>
      </c>
      <c r="F76" s="309">
        <f t="shared" si="10"/>
        <v>7787.6210147883712</v>
      </c>
      <c r="G76" s="310">
        <f t="shared" si="11"/>
        <v>11673.087060000002</v>
      </c>
      <c r="H76" s="288">
        <v>6.7000000000000004E-2</v>
      </c>
    </row>
    <row r="77" spans="1:8" x14ac:dyDescent="0.3">
      <c r="A77" s="292" t="s">
        <v>228</v>
      </c>
      <c r="B77" s="309">
        <f t="shared" si="10"/>
        <v>2038.6176325199999</v>
      </c>
      <c r="C77" s="309">
        <f t="shared" si="10"/>
        <v>4812.0828861042</v>
      </c>
      <c r="D77" s="309">
        <f t="shared" si="10"/>
        <v>5492.054904160861</v>
      </c>
      <c r="E77" s="309">
        <f t="shared" si="10"/>
        <v>6505.3390339785392</v>
      </c>
      <c r="F77" s="309">
        <f t="shared" si="10"/>
        <v>7179.1062910691735</v>
      </c>
      <c r="G77" s="310">
        <f t="shared" si="11"/>
        <v>10760.967000000001</v>
      </c>
      <c r="H77" s="288">
        <v>7.0000000000000001E-3</v>
      </c>
    </row>
    <row r="78" spans="1:8" x14ac:dyDescent="0.3">
      <c r="A78" s="292" t="s">
        <v>229</v>
      </c>
      <c r="B78" s="309">
        <f t="shared" si="10"/>
        <v>226.51307027999999</v>
      </c>
      <c r="C78" s="309">
        <f t="shared" si="10"/>
        <v>1718.6010307514998</v>
      </c>
      <c r="D78" s="309">
        <f t="shared" si="10"/>
        <v>1961.4481800574504</v>
      </c>
      <c r="E78" s="309">
        <f t="shared" si="10"/>
        <v>2323.3353692780497</v>
      </c>
      <c r="F78" s="309">
        <f t="shared" si="10"/>
        <v>2393.0354303563913</v>
      </c>
      <c r="G78" s="310">
        <f t="shared" si="11"/>
        <v>3586.9890000000005</v>
      </c>
      <c r="H78" s="288">
        <v>7.0000000000000001E-3</v>
      </c>
    </row>
    <row r="79" spans="1:8" x14ac:dyDescent="0.3">
      <c r="A79" s="292" t="s">
        <v>230</v>
      </c>
      <c r="B79" s="309">
        <f t="shared" si="10"/>
        <v>43145.346720000001</v>
      </c>
      <c r="C79" s="309">
        <f t="shared" si="10"/>
        <v>65470.515457199996</v>
      </c>
      <c r="D79" s="309">
        <f t="shared" si="10"/>
        <v>74721.835430760009</v>
      </c>
      <c r="E79" s="309">
        <f t="shared" si="10"/>
        <v>88508.014067735232</v>
      </c>
      <c r="F79" s="309">
        <f t="shared" si="10"/>
        <v>91163.254489767292</v>
      </c>
      <c r="G79" s="310">
        <f t="shared" si="11"/>
        <v>136647.20000000001</v>
      </c>
      <c r="H79" s="288">
        <v>2</v>
      </c>
    </row>
    <row r="80" spans="1:8" x14ac:dyDescent="0.3">
      <c r="A80" s="292" t="s">
        <v>231</v>
      </c>
      <c r="B80" s="309">
        <f>B64*$I80</f>
        <v>0</v>
      </c>
      <c r="C80" s="309">
        <f>C64*$I80</f>
        <v>0</v>
      </c>
      <c r="D80" s="309">
        <f>D64*$I80</f>
        <v>0</v>
      </c>
      <c r="E80" s="309">
        <f>E64*$I80</f>
        <v>0</v>
      </c>
      <c r="F80" s="309">
        <f>F64*$I80</f>
        <v>0</v>
      </c>
      <c r="G80" s="310">
        <f>G64*H80</f>
        <v>0</v>
      </c>
    </row>
    <row r="81" spans="1:8" s="304" customFormat="1" ht="14.4" thickBot="1" x14ac:dyDescent="0.35">
      <c r="A81" s="301" t="s">
        <v>107</v>
      </c>
      <c r="B81" s="311">
        <f t="shared" ref="B81:G81" si="12">SUM(B71:B80)</f>
        <v>99374.51983284</v>
      </c>
      <c r="C81" s="311">
        <f t="shared" si="12"/>
        <v>229567.45216201252</v>
      </c>
      <c r="D81" s="311">
        <f t="shared" si="12"/>
        <v>251265.24795713089</v>
      </c>
      <c r="E81" s="311">
        <f t="shared" si="12"/>
        <v>304814.962348225</v>
      </c>
      <c r="F81" s="363">
        <f t="shared" si="12"/>
        <v>329366.00122744247</v>
      </c>
      <c r="G81" s="363">
        <f t="shared" si="12"/>
        <v>493696.08506000001</v>
      </c>
      <c r="H81" s="373"/>
    </row>
    <row r="82" spans="1:8" x14ac:dyDescent="0.3">
      <c r="A82" s="316" t="s">
        <v>250</v>
      </c>
      <c r="B82" s="317">
        <v>0.6</v>
      </c>
      <c r="C82" s="317">
        <v>0.78</v>
      </c>
      <c r="D82" s="317">
        <v>0.79</v>
      </c>
      <c r="E82" s="317">
        <v>0.79</v>
      </c>
      <c r="F82" s="318">
        <v>0.8</v>
      </c>
      <c r="G82" s="378">
        <v>0.8</v>
      </c>
    </row>
    <row r="83" spans="1:8" x14ac:dyDescent="0.3">
      <c r="A83" s="319" t="s">
        <v>251</v>
      </c>
      <c r="B83" s="320">
        <f t="shared" ref="B83:G83" si="13">B81*B82</f>
        <v>59624.711899703994</v>
      </c>
      <c r="C83" s="320">
        <f t="shared" si="13"/>
        <v>179062.61268636977</v>
      </c>
      <c r="D83" s="320">
        <f t="shared" si="13"/>
        <v>198499.54588613342</v>
      </c>
      <c r="E83" s="320">
        <f t="shared" si="13"/>
        <v>240803.82025509776</v>
      </c>
      <c r="F83" s="321">
        <f t="shared" si="13"/>
        <v>263492.80098195397</v>
      </c>
      <c r="G83" s="321">
        <f t="shared" si="13"/>
        <v>394956.86804800003</v>
      </c>
    </row>
    <row r="84" spans="1:8" ht="14.4" thickBot="1" x14ac:dyDescent="0.35">
      <c r="A84" s="322" t="s">
        <v>252</v>
      </c>
      <c r="B84" s="323">
        <f>B83</f>
        <v>59624.711899703994</v>
      </c>
      <c r="C84" s="323">
        <f>B84+C83</f>
        <v>238687.32458607375</v>
      </c>
      <c r="D84" s="323">
        <f>C84+D83</f>
        <v>437186.8704722072</v>
      </c>
      <c r="E84" s="323">
        <f>D84+E83</f>
        <v>677990.6907273049</v>
      </c>
      <c r="F84" s="324">
        <f>E84+F83</f>
        <v>941483.49170925887</v>
      </c>
      <c r="G84" s="324">
        <f>F84+G83</f>
        <v>1336440.359757259</v>
      </c>
    </row>
    <row r="85" spans="1:8" ht="14.4" thickBot="1" x14ac:dyDescent="0.35"/>
    <row r="86" spans="1:8" x14ac:dyDescent="0.3">
      <c r="A86" s="364" t="s">
        <v>253</v>
      </c>
      <c r="B86" s="365"/>
      <c r="C86" s="365"/>
      <c r="D86" s="365"/>
      <c r="E86" s="365"/>
      <c r="F86" s="365"/>
      <c r="G86" s="366"/>
    </row>
    <row r="87" spans="1:8" x14ac:dyDescent="0.3">
      <c r="A87" s="805" t="s">
        <v>249</v>
      </c>
      <c r="B87" s="804"/>
      <c r="C87" s="804"/>
      <c r="D87" s="804"/>
      <c r="E87" s="804"/>
      <c r="F87" s="804"/>
      <c r="G87" s="291"/>
    </row>
    <row r="88" spans="1:8" x14ac:dyDescent="0.3">
      <c r="A88" s="289"/>
      <c r="B88" s="299" t="s">
        <v>240</v>
      </c>
      <c r="C88" s="299" t="s">
        <v>241</v>
      </c>
      <c r="D88" s="299" t="s">
        <v>242</v>
      </c>
      <c r="E88" s="299" t="s">
        <v>243</v>
      </c>
      <c r="F88" s="299" t="s">
        <v>244</v>
      </c>
      <c r="G88" s="300" t="s">
        <v>262</v>
      </c>
      <c r="H88" s="299" t="s">
        <v>269</v>
      </c>
    </row>
    <row r="89" spans="1:8" x14ac:dyDescent="0.3">
      <c r="A89" s="289"/>
      <c r="B89" s="352"/>
      <c r="C89" s="352"/>
      <c r="D89" s="352"/>
      <c r="E89" s="352"/>
      <c r="F89" s="352"/>
      <c r="G89" s="308"/>
      <c r="H89" s="352"/>
    </row>
    <row r="90" spans="1:8" x14ac:dyDescent="0.3">
      <c r="A90" s="289" t="s">
        <v>220</v>
      </c>
      <c r="B90" s="299"/>
      <c r="C90" s="299"/>
      <c r="D90" s="299"/>
      <c r="E90" s="299"/>
      <c r="F90" s="299"/>
      <c r="G90" s="300"/>
      <c r="H90" s="293" t="s">
        <v>266</v>
      </c>
    </row>
    <row r="91" spans="1:8" x14ac:dyDescent="0.3">
      <c r="A91" s="292" t="s">
        <v>222</v>
      </c>
      <c r="B91" s="361">
        <f t="shared" ref="B91:G99" si="14">B55*$H91</f>
        <v>0</v>
      </c>
      <c r="C91" s="361">
        <f t="shared" si="14"/>
        <v>32735.257728599994</v>
      </c>
      <c r="D91" s="361">
        <f t="shared" si="14"/>
        <v>18680.458857690002</v>
      </c>
      <c r="E91" s="361">
        <f t="shared" si="14"/>
        <v>22127.003516933804</v>
      </c>
      <c r="F91" s="361">
        <f t="shared" si="14"/>
        <v>22790.813622441819</v>
      </c>
      <c r="G91" s="310">
        <f t="shared" si="14"/>
        <v>34161.800000000003</v>
      </c>
      <c r="H91" s="288">
        <v>10</v>
      </c>
    </row>
    <row r="92" spans="1:8" x14ac:dyDescent="0.3">
      <c r="A92" s="292" t="s">
        <v>223</v>
      </c>
      <c r="B92" s="361">
        <f t="shared" si="14"/>
        <v>0</v>
      </c>
      <c r="C92" s="361">
        <f t="shared" si="14"/>
        <v>0</v>
      </c>
      <c r="D92" s="361">
        <f t="shared" si="14"/>
        <v>0</v>
      </c>
      <c r="E92" s="361">
        <f t="shared" si="14"/>
        <v>0</v>
      </c>
      <c r="F92" s="361">
        <f t="shared" si="14"/>
        <v>0</v>
      </c>
      <c r="G92" s="310">
        <f t="shared" si="14"/>
        <v>0</v>
      </c>
      <c r="H92" s="288">
        <v>12.5</v>
      </c>
    </row>
    <row r="93" spans="1:8" x14ac:dyDescent="0.3">
      <c r="A93" s="292" t="s">
        <v>224</v>
      </c>
      <c r="B93" s="361">
        <f t="shared" si="14"/>
        <v>20494.039691999998</v>
      </c>
      <c r="C93" s="361">
        <f t="shared" si="14"/>
        <v>43537.892779037997</v>
      </c>
      <c r="D93" s="361">
        <f t="shared" si="14"/>
        <v>49690.020561455407</v>
      </c>
      <c r="E93" s="361">
        <f t="shared" si="14"/>
        <v>58857.829355043919</v>
      </c>
      <c r="F93" s="361">
        <f t="shared" si="14"/>
        <v>69284.073412223122</v>
      </c>
      <c r="G93" s="310">
        <f t="shared" si="14"/>
        <v>103851.872</v>
      </c>
      <c r="H93" s="288">
        <v>3.8</v>
      </c>
    </row>
    <row r="94" spans="1:8" x14ac:dyDescent="0.3">
      <c r="A94" s="292" t="s">
        <v>225</v>
      </c>
      <c r="B94" s="361">
        <f t="shared" si="14"/>
        <v>8089.7525100000003</v>
      </c>
      <c r="C94" s="361">
        <f t="shared" si="14"/>
        <v>10229.768040187499</v>
      </c>
      <c r="D94" s="361">
        <f t="shared" si="14"/>
        <v>11208.275314614</v>
      </c>
      <c r="E94" s="361">
        <f t="shared" si="14"/>
        <v>12723.027022236938</v>
      </c>
      <c r="F94" s="361">
        <f t="shared" si="14"/>
        <v>11395.406811220912</v>
      </c>
      <c r="G94" s="310">
        <f t="shared" si="14"/>
        <v>17080.900000000001</v>
      </c>
      <c r="H94" s="288">
        <v>0.25</v>
      </c>
    </row>
    <row r="95" spans="1:8" x14ac:dyDescent="0.3">
      <c r="A95" s="292" t="s">
        <v>226</v>
      </c>
      <c r="B95" s="361">
        <f t="shared" si="14"/>
        <v>18876.089189999999</v>
      </c>
      <c r="C95" s="361">
        <f t="shared" si="14"/>
        <v>57286.701025049995</v>
      </c>
      <c r="D95" s="361">
        <f t="shared" si="14"/>
        <v>78457.927202298</v>
      </c>
      <c r="E95" s="361">
        <f t="shared" si="14"/>
        <v>100677.86600204882</v>
      </c>
      <c r="F95" s="361">
        <f t="shared" si="14"/>
        <v>111674.98674996493</v>
      </c>
      <c r="G95" s="310">
        <f t="shared" si="14"/>
        <v>167392.82</v>
      </c>
      <c r="H95" s="288">
        <v>3.5</v>
      </c>
    </row>
    <row r="96" spans="1:8" x14ac:dyDescent="0.3">
      <c r="A96" s="292" t="s">
        <v>227</v>
      </c>
      <c r="B96" s="361">
        <f t="shared" si="14"/>
        <v>6504.1610180400012</v>
      </c>
      <c r="C96" s="361">
        <f t="shared" si="14"/>
        <v>5592.8187829313101</v>
      </c>
      <c r="D96" s="361">
        <f t="shared" si="14"/>
        <v>6383.1127916726746</v>
      </c>
      <c r="E96" s="361">
        <f t="shared" si="14"/>
        <v>7560.7971017362825</v>
      </c>
      <c r="F96" s="361">
        <f t="shared" si="14"/>
        <v>7787.6210147883712</v>
      </c>
      <c r="G96" s="310">
        <f t="shared" si="14"/>
        <v>11673.087060000002</v>
      </c>
      <c r="H96" s="288">
        <v>6.7000000000000004E-2</v>
      </c>
    </row>
    <row r="97" spans="1:8" x14ac:dyDescent="0.3">
      <c r="A97" s="292" t="s">
        <v>228</v>
      </c>
      <c r="B97" s="361">
        <f t="shared" si="14"/>
        <v>2329.84872288</v>
      </c>
      <c r="C97" s="361">
        <f t="shared" si="14"/>
        <v>5499.5232984047998</v>
      </c>
      <c r="D97" s="361">
        <f t="shared" si="14"/>
        <v>6276.6341761838412</v>
      </c>
      <c r="E97" s="361">
        <f t="shared" si="14"/>
        <v>7434.6731816897591</v>
      </c>
      <c r="F97" s="361">
        <f t="shared" si="14"/>
        <v>8204.6929040790565</v>
      </c>
      <c r="G97" s="310">
        <f t="shared" si="14"/>
        <v>12298.248</v>
      </c>
      <c r="H97" s="288">
        <v>8.0000000000000002E-3</v>
      </c>
    </row>
    <row r="98" spans="1:8" x14ac:dyDescent="0.3">
      <c r="A98" s="292" t="s">
        <v>229</v>
      </c>
      <c r="B98" s="361">
        <f t="shared" si="14"/>
        <v>258.87208032000001</v>
      </c>
      <c r="C98" s="361">
        <f t="shared" si="14"/>
        <v>1964.1154637159998</v>
      </c>
      <c r="D98" s="361">
        <f t="shared" si="14"/>
        <v>2241.6550629228004</v>
      </c>
      <c r="E98" s="361">
        <f t="shared" si="14"/>
        <v>2655.2404220320568</v>
      </c>
      <c r="F98" s="361">
        <f t="shared" si="14"/>
        <v>2734.8976346930185</v>
      </c>
      <c r="G98" s="310">
        <f t="shared" si="14"/>
        <v>4099.4160000000002</v>
      </c>
      <c r="H98" s="288">
        <v>8.0000000000000002E-3</v>
      </c>
    </row>
    <row r="99" spans="1:8" x14ac:dyDescent="0.3">
      <c r="A99" s="292" t="s">
        <v>230</v>
      </c>
      <c r="B99" s="361">
        <f t="shared" si="14"/>
        <v>5393.1683400000002</v>
      </c>
      <c r="C99" s="361">
        <f t="shared" si="14"/>
        <v>8183.8144321499994</v>
      </c>
      <c r="D99" s="361">
        <f t="shared" si="14"/>
        <v>9340.2294288450012</v>
      </c>
      <c r="E99" s="361">
        <f t="shared" si="14"/>
        <v>11063.501758466904</v>
      </c>
      <c r="F99" s="361">
        <f t="shared" si="14"/>
        <v>11395.406811220912</v>
      </c>
      <c r="G99" s="310">
        <f t="shared" si="14"/>
        <v>17080.900000000001</v>
      </c>
      <c r="H99" s="288">
        <v>0.25</v>
      </c>
    </row>
    <row r="100" spans="1:8" x14ac:dyDescent="0.3">
      <c r="A100" s="292" t="s">
        <v>231</v>
      </c>
      <c r="B100" s="361">
        <f t="shared" ref="B100:G100" si="15">B64*$G80</f>
        <v>0</v>
      </c>
      <c r="C100" s="361">
        <f t="shared" si="15"/>
        <v>0</v>
      </c>
      <c r="D100" s="361">
        <f t="shared" si="15"/>
        <v>0</v>
      </c>
      <c r="E100" s="361">
        <f t="shared" si="15"/>
        <v>0</v>
      </c>
      <c r="F100" s="361">
        <f t="shared" si="15"/>
        <v>0</v>
      </c>
      <c r="G100" s="310">
        <f t="shared" si="15"/>
        <v>0</v>
      </c>
      <c r="H100" s="309"/>
    </row>
    <row r="101" spans="1:8" x14ac:dyDescent="0.3">
      <c r="A101" s="373" t="s">
        <v>107</v>
      </c>
      <c r="B101" s="363">
        <f t="shared" ref="B101:G101" si="16">SUM(B91:B100)</f>
        <v>61945.931553239992</v>
      </c>
      <c r="C101" s="363">
        <f t="shared" si="16"/>
        <v>165029.89155007759</v>
      </c>
      <c r="D101" s="363">
        <f t="shared" si="16"/>
        <v>182278.3133956817</v>
      </c>
      <c r="E101" s="363">
        <f t="shared" si="16"/>
        <v>223099.93836018848</v>
      </c>
      <c r="F101" s="363">
        <f t="shared" si="16"/>
        <v>245267.89896063216</v>
      </c>
      <c r="G101" s="374">
        <f t="shared" si="16"/>
        <v>367639.04306000005</v>
      </c>
      <c r="H101" s="363"/>
    </row>
    <row r="102" spans="1:8" x14ac:dyDescent="0.3">
      <c r="A102" s="319" t="s">
        <v>250</v>
      </c>
      <c r="B102" s="370"/>
      <c r="C102" s="370"/>
      <c r="D102" s="370">
        <v>0.79</v>
      </c>
      <c r="E102" s="370">
        <v>0.79</v>
      </c>
      <c r="F102" s="370">
        <v>0.8</v>
      </c>
      <c r="G102" s="375">
        <v>0.8</v>
      </c>
    </row>
    <row r="103" spans="1:8" x14ac:dyDescent="0.3">
      <c r="A103" s="319" t="s">
        <v>251</v>
      </c>
      <c r="B103" s="320">
        <v>59625</v>
      </c>
      <c r="C103" s="320">
        <v>179063</v>
      </c>
      <c r="D103" s="320">
        <f>D101*D102</f>
        <v>143999.86758258854</v>
      </c>
      <c r="E103" s="320">
        <f>E101*E102</f>
        <v>176248.95130454891</v>
      </c>
      <c r="F103" s="320">
        <f>F101*F102</f>
        <v>196214.31916850572</v>
      </c>
      <c r="G103" s="321">
        <f>G101*G102</f>
        <v>294111.23444800003</v>
      </c>
    </row>
    <row r="104" spans="1:8" ht="14.4" thickBot="1" x14ac:dyDescent="0.35">
      <c r="A104" s="322" t="s">
        <v>252</v>
      </c>
      <c r="B104" s="323">
        <f>B103</f>
        <v>59625</v>
      </c>
      <c r="C104" s="323">
        <f>B104+C103</f>
        <v>238688</v>
      </c>
      <c r="D104" s="323">
        <f>C104+D103</f>
        <v>382687.86758258857</v>
      </c>
      <c r="E104" s="323">
        <f>D104+E103</f>
        <v>558936.81888713746</v>
      </c>
      <c r="F104" s="323">
        <f>E104+F103</f>
        <v>755151.13805564318</v>
      </c>
      <c r="G104" s="324">
        <f>F104+G103</f>
        <v>1049262.3725036432</v>
      </c>
    </row>
    <row r="106" spans="1:8" ht="14.4" x14ac:dyDescent="0.3">
      <c r="A106" s="288" t="s">
        <v>641</v>
      </c>
      <c r="D106" s="349"/>
      <c r="E106" s="349"/>
      <c r="F106" s="349"/>
    </row>
    <row r="107" spans="1:8" ht="345.6" x14ac:dyDescent="0.3">
      <c r="A107" s="527" t="s">
        <v>642</v>
      </c>
    </row>
    <row r="108" spans="1:8" ht="201.6" x14ac:dyDescent="0.3">
      <c r="A108" s="527" t="s">
        <v>643</v>
      </c>
    </row>
    <row r="109" spans="1:8" ht="72" x14ac:dyDescent="0.3">
      <c r="A109" s="527" t="s">
        <v>644</v>
      </c>
    </row>
    <row r="110" spans="1:8" ht="57.6" x14ac:dyDescent="0.3">
      <c r="A110" s="527" t="s">
        <v>645</v>
      </c>
    </row>
    <row r="111" spans="1:8" ht="115.2" x14ac:dyDescent="0.3">
      <c r="A111" s="527" t="s">
        <v>646</v>
      </c>
    </row>
    <row r="112" spans="1:8" ht="316.8" x14ac:dyDescent="0.3">
      <c r="A112" s="527" t="s">
        <v>647</v>
      </c>
    </row>
  </sheetData>
  <mergeCells count="9">
    <mergeCell ref="A51:F51"/>
    <mergeCell ref="A67:F67"/>
    <mergeCell ref="A87:F87"/>
    <mergeCell ref="A1:B1"/>
    <mergeCell ref="A2:B2"/>
    <mergeCell ref="A4:F4"/>
    <mergeCell ref="A6:C6"/>
    <mergeCell ref="A35:F35"/>
    <mergeCell ref="A19:G19"/>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18"/>
  <sheetViews>
    <sheetView zoomScale="85" zoomScaleNormal="85" workbookViewId="0">
      <pane xSplit="2" ySplit="2" topLeftCell="C14" activePane="bottomRight" state="frozen"/>
      <selection activeCell="C201" sqref="C201"/>
      <selection pane="topRight" activeCell="C201" sqref="C201"/>
      <selection pane="bottomLeft" activeCell="C201" sqref="C201"/>
      <selection pane="bottomRight"/>
    </sheetView>
  </sheetViews>
  <sheetFormatPr defaultColWidth="9.21875" defaultRowHeight="14.4" x14ac:dyDescent="0.3"/>
  <cols>
    <col min="1" max="1" width="15.44140625" customWidth="1"/>
    <col min="2" max="2" width="25.5546875" customWidth="1"/>
    <col min="3" max="13" width="15.44140625" customWidth="1"/>
    <col min="14" max="20" width="9.21875" customWidth="1"/>
    <col min="21" max="21" width="9.77734375" hidden="1" customWidth="1"/>
    <col min="22" max="22" width="12.5546875" hidden="1" customWidth="1"/>
  </cols>
  <sheetData>
    <row r="1" spans="1:22" ht="19.5" customHeight="1" thickBot="1" x14ac:dyDescent="0.35">
      <c r="A1" s="1"/>
      <c r="B1" s="1"/>
      <c r="C1" s="1"/>
      <c r="D1" s="1"/>
      <c r="E1" s="1"/>
      <c r="F1" s="1"/>
      <c r="G1" s="1"/>
      <c r="H1" s="1"/>
      <c r="I1" s="1"/>
      <c r="J1" s="1"/>
      <c r="K1" s="1"/>
      <c r="L1" s="1"/>
    </row>
    <row r="2" spans="1:22" ht="54.75" customHeight="1" thickBot="1" x14ac:dyDescent="0.35">
      <c r="A2" s="2" t="s">
        <v>0</v>
      </c>
      <c r="B2" s="704" t="s">
        <v>118</v>
      </c>
      <c r="C2" s="705"/>
      <c r="D2" s="705"/>
      <c r="E2" s="705"/>
      <c r="F2" s="705"/>
      <c r="G2" s="705"/>
      <c r="H2" s="705"/>
      <c r="I2" s="705"/>
      <c r="J2" s="705"/>
      <c r="K2" s="705"/>
      <c r="L2" s="706"/>
      <c r="M2" s="3"/>
      <c r="N2" s="3"/>
      <c r="O2" s="3"/>
      <c r="P2" s="3"/>
      <c r="Q2" s="3"/>
      <c r="R2" s="3"/>
      <c r="S2" s="3"/>
      <c r="T2" s="3"/>
      <c r="U2" s="3"/>
      <c r="V2" s="3"/>
    </row>
    <row r="3" spans="1:22" s="5" customFormat="1" ht="15.75" customHeight="1" thickBot="1" x14ac:dyDescent="0.3">
      <c r="A3" s="589"/>
      <c r="B3" s="4"/>
      <c r="C3" s="4"/>
      <c r="D3" s="4"/>
      <c r="E3" s="602">
        <v>41699</v>
      </c>
      <c r="F3" s="602">
        <v>42064</v>
      </c>
      <c r="G3" s="602">
        <v>42430</v>
      </c>
      <c r="H3" s="602">
        <v>42795</v>
      </c>
      <c r="I3" s="602">
        <v>43160</v>
      </c>
      <c r="J3" s="603" t="s">
        <v>1</v>
      </c>
      <c r="K3" s="604" t="s">
        <v>263</v>
      </c>
      <c r="L3" s="707"/>
      <c r="U3" s="710" t="s">
        <v>2</v>
      </c>
      <c r="V3" s="711"/>
    </row>
    <row r="4" spans="1:22" s="5" customFormat="1" ht="13.8" thickBot="1" x14ac:dyDescent="0.3">
      <c r="A4" s="590"/>
      <c r="B4" s="591"/>
      <c r="C4" s="591"/>
      <c r="D4" s="591"/>
      <c r="E4" s="591"/>
      <c r="F4" s="591"/>
      <c r="G4" s="591"/>
      <c r="H4" s="591"/>
      <c r="I4" s="591"/>
      <c r="J4" s="4"/>
      <c r="K4" s="4"/>
      <c r="L4" s="707"/>
      <c r="U4" s="6"/>
      <c r="V4" s="6"/>
    </row>
    <row r="5" spans="1:22" ht="15" thickBot="1" x14ac:dyDescent="0.35">
      <c r="A5" s="543" t="s">
        <v>3</v>
      </c>
      <c r="B5" s="7" t="s">
        <v>4</v>
      </c>
      <c r="C5" s="7"/>
      <c r="D5" s="247" t="s">
        <v>5</v>
      </c>
      <c r="E5" s="247" t="s">
        <v>6</v>
      </c>
      <c r="F5" s="247" t="s">
        <v>7</v>
      </c>
      <c r="G5" s="247" t="s">
        <v>8</v>
      </c>
      <c r="H5" s="247" t="s">
        <v>9</v>
      </c>
      <c r="I5" s="247" t="s">
        <v>10</v>
      </c>
      <c r="J5" s="247" t="s">
        <v>1</v>
      </c>
      <c r="K5" s="545" t="s">
        <v>263</v>
      </c>
      <c r="L5" s="707"/>
      <c r="U5" s="8"/>
      <c r="V5" s="8"/>
    </row>
    <row r="6" spans="1:22" ht="15" customHeight="1" thickBot="1" x14ac:dyDescent="0.35">
      <c r="A6" s="632" t="s">
        <v>12</v>
      </c>
      <c r="B6" s="712" t="s">
        <v>13</v>
      </c>
      <c r="C6" s="549" t="s">
        <v>14</v>
      </c>
      <c r="D6" s="592">
        <v>67</v>
      </c>
      <c r="E6" s="593" t="s">
        <v>15</v>
      </c>
      <c r="F6" s="593" t="s">
        <v>15</v>
      </c>
      <c r="G6" s="593" t="s">
        <v>15</v>
      </c>
      <c r="H6" s="593" t="s">
        <v>15</v>
      </c>
      <c r="I6" s="594">
        <v>60</v>
      </c>
      <c r="J6" s="595" t="s">
        <v>15</v>
      </c>
      <c r="K6" s="548"/>
      <c r="L6" s="707"/>
      <c r="U6" s="12" t="s">
        <v>15</v>
      </c>
      <c r="V6" s="12" t="s">
        <v>15</v>
      </c>
    </row>
    <row r="7" spans="1:22" ht="15" customHeight="1" thickBot="1" x14ac:dyDescent="0.35">
      <c r="A7" s="633"/>
      <c r="B7" s="713"/>
      <c r="C7" s="325" t="s">
        <v>254</v>
      </c>
      <c r="D7" s="592">
        <v>77</v>
      </c>
      <c r="E7" s="593" t="s">
        <v>15</v>
      </c>
      <c r="F7" s="593" t="s">
        <v>15</v>
      </c>
      <c r="G7" s="593" t="s">
        <v>15</v>
      </c>
      <c r="H7" s="593" t="s">
        <v>15</v>
      </c>
      <c r="I7" s="594">
        <v>69</v>
      </c>
      <c r="J7" s="595" t="s">
        <v>15</v>
      </c>
      <c r="K7" s="548"/>
      <c r="L7" s="707"/>
      <c r="U7" s="12"/>
      <c r="V7" s="12"/>
    </row>
    <row r="8" spans="1:22" ht="15" customHeight="1" thickBot="1" x14ac:dyDescent="0.35">
      <c r="A8" s="633"/>
      <c r="B8" s="713"/>
      <c r="C8" s="325" t="s">
        <v>255</v>
      </c>
      <c r="D8" s="592">
        <v>56</v>
      </c>
      <c r="E8" s="593" t="s">
        <v>15</v>
      </c>
      <c r="F8" s="593" t="s">
        <v>15</v>
      </c>
      <c r="G8" s="593" t="s">
        <v>15</v>
      </c>
      <c r="H8" s="593" t="s">
        <v>15</v>
      </c>
      <c r="I8" s="594">
        <v>50</v>
      </c>
      <c r="J8" s="595" t="s">
        <v>15</v>
      </c>
      <c r="K8" s="548"/>
      <c r="L8" s="707"/>
      <c r="U8" s="12"/>
      <c r="V8" s="12"/>
    </row>
    <row r="9" spans="1:22" ht="15.75" customHeight="1" thickBot="1" x14ac:dyDescent="0.35">
      <c r="A9" s="633"/>
      <c r="B9" s="713"/>
      <c r="C9" s="542" t="s">
        <v>16</v>
      </c>
      <c r="D9" s="16"/>
      <c r="E9" s="593" t="s">
        <v>15</v>
      </c>
      <c r="F9" s="593" t="s">
        <v>15</v>
      </c>
      <c r="G9" s="593" t="s">
        <v>15</v>
      </c>
      <c r="H9" s="593" t="s">
        <v>15</v>
      </c>
      <c r="I9" s="525" t="s">
        <v>633</v>
      </c>
      <c r="J9" s="593" t="s">
        <v>15</v>
      </c>
      <c r="K9" s="548"/>
      <c r="L9" s="707"/>
      <c r="U9" s="12" t="s">
        <v>15</v>
      </c>
      <c r="V9" s="12" t="s">
        <v>15</v>
      </c>
    </row>
    <row r="10" spans="1:22" ht="15" thickBot="1" x14ac:dyDescent="0.35">
      <c r="A10" s="633"/>
      <c r="B10" s="713"/>
      <c r="C10" s="17"/>
      <c r="D10" s="636" t="s">
        <v>17</v>
      </c>
      <c r="E10" s="637"/>
      <c r="F10" s="637"/>
      <c r="G10" s="637"/>
      <c r="H10" s="637"/>
      <c r="I10" s="637"/>
      <c r="J10" s="547"/>
      <c r="K10" s="547"/>
      <c r="L10" s="708"/>
    </row>
    <row r="11" spans="1:22" ht="15.75" customHeight="1" thickBot="1" x14ac:dyDescent="0.35">
      <c r="A11" s="633"/>
      <c r="B11" s="714"/>
      <c r="C11" s="596"/>
      <c r="D11" s="654" t="s">
        <v>26</v>
      </c>
      <c r="E11" s="655"/>
      <c r="F11" s="655"/>
      <c r="G11" s="655"/>
      <c r="H11" s="655"/>
      <c r="I11" s="656"/>
      <c r="J11" s="20"/>
      <c r="K11" s="20"/>
      <c r="L11" s="707"/>
    </row>
    <row r="12" spans="1:22" ht="15.75" customHeight="1" thickBot="1" x14ac:dyDescent="0.35">
      <c r="A12" s="633"/>
      <c r="B12" s="7" t="s">
        <v>18</v>
      </c>
      <c r="C12" s="7"/>
      <c r="D12" s="247" t="s">
        <v>5</v>
      </c>
      <c r="E12" s="247" t="s">
        <v>6</v>
      </c>
      <c r="F12" s="247" t="s">
        <v>7</v>
      </c>
      <c r="G12" s="247" t="s">
        <v>8</v>
      </c>
      <c r="H12" s="247" t="s">
        <v>9</v>
      </c>
      <c r="I12" s="247" t="s">
        <v>10</v>
      </c>
      <c r="J12" s="247" t="s">
        <v>1</v>
      </c>
      <c r="K12" s="545" t="s">
        <v>263</v>
      </c>
      <c r="L12" s="707"/>
      <c r="U12" s="8"/>
      <c r="V12" s="8"/>
    </row>
    <row r="13" spans="1:22" ht="13.5" customHeight="1" thickBot="1" x14ac:dyDescent="0.35">
      <c r="A13" s="633"/>
      <c r="B13" s="712" t="s">
        <v>19</v>
      </c>
      <c r="C13" s="549" t="s">
        <v>14</v>
      </c>
      <c r="D13" s="597">
        <v>0.40400000000000003</v>
      </c>
      <c r="E13" s="593" t="s">
        <v>15</v>
      </c>
      <c r="F13" s="593" t="s">
        <v>15</v>
      </c>
      <c r="G13" s="593" t="s">
        <v>15</v>
      </c>
      <c r="H13" s="593" t="s">
        <v>15</v>
      </c>
      <c r="I13" s="598">
        <v>0.34300000000000003</v>
      </c>
      <c r="J13" s="593" t="s">
        <v>15</v>
      </c>
      <c r="K13" s="548"/>
      <c r="L13" s="707"/>
      <c r="U13" s="12" t="s">
        <v>15</v>
      </c>
      <c r="V13" s="12" t="s">
        <v>15</v>
      </c>
    </row>
    <row r="14" spans="1:22" ht="15" customHeight="1" thickBot="1" x14ac:dyDescent="0.35">
      <c r="A14" s="633"/>
      <c r="B14" s="713"/>
      <c r="C14" s="325" t="s">
        <v>254</v>
      </c>
      <c r="D14" s="599">
        <v>0.378</v>
      </c>
      <c r="E14" s="593" t="s">
        <v>15</v>
      </c>
      <c r="F14" s="593" t="s">
        <v>15</v>
      </c>
      <c r="G14" s="593" t="s">
        <v>15</v>
      </c>
      <c r="H14" s="593" t="s">
        <v>15</v>
      </c>
      <c r="I14" s="598">
        <v>0.32100000000000001</v>
      </c>
      <c r="J14" s="593" t="s">
        <v>15</v>
      </c>
      <c r="K14" s="548"/>
      <c r="L14" s="707"/>
      <c r="U14" s="12"/>
      <c r="V14" s="12"/>
    </row>
    <row r="15" spans="1:22" ht="15" customHeight="1" thickBot="1" x14ac:dyDescent="0.35">
      <c r="A15" s="633"/>
      <c r="B15" s="713"/>
      <c r="C15" s="325" t="s">
        <v>255</v>
      </c>
      <c r="D15" s="599">
        <v>0.42899999999999999</v>
      </c>
      <c r="E15" s="593" t="s">
        <v>15</v>
      </c>
      <c r="F15" s="593" t="s">
        <v>15</v>
      </c>
      <c r="G15" s="593" t="s">
        <v>15</v>
      </c>
      <c r="H15" s="593" t="s">
        <v>15</v>
      </c>
      <c r="I15" s="598">
        <v>0.36499999999999999</v>
      </c>
      <c r="J15" s="593" t="s">
        <v>15</v>
      </c>
      <c r="K15" s="548"/>
      <c r="L15" s="707"/>
      <c r="U15" s="12"/>
      <c r="V15" s="12"/>
    </row>
    <row r="16" spans="1:22" ht="13.5" customHeight="1" thickBot="1" x14ac:dyDescent="0.35">
      <c r="A16" s="633"/>
      <c r="B16" s="713"/>
      <c r="C16" s="542" t="s">
        <v>16</v>
      </c>
      <c r="D16" s="16"/>
      <c r="E16" s="593" t="s">
        <v>15</v>
      </c>
      <c r="F16" s="593" t="s">
        <v>15</v>
      </c>
      <c r="G16" s="593" t="s">
        <v>15</v>
      </c>
      <c r="H16" s="593" t="s">
        <v>15</v>
      </c>
      <c r="I16" s="598" t="s">
        <v>633</v>
      </c>
      <c r="J16" s="593" t="s">
        <v>15</v>
      </c>
      <c r="K16" s="548"/>
      <c r="L16" s="707"/>
      <c r="U16" s="12" t="s">
        <v>15</v>
      </c>
      <c r="V16" s="12" t="s">
        <v>15</v>
      </c>
    </row>
    <row r="17" spans="1:22" ht="23.4" thickBot="1" x14ac:dyDescent="0.35">
      <c r="A17" s="633"/>
      <c r="B17" s="713"/>
      <c r="C17" s="325" t="s">
        <v>264</v>
      </c>
      <c r="D17" s="599">
        <v>0.433</v>
      </c>
      <c r="E17" s="593" t="s">
        <v>15</v>
      </c>
      <c r="F17" s="593" t="s">
        <v>15</v>
      </c>
      <c r="G17" s="593" t="s">
        <v>15</v>
      </c>
      <c r="H17" s="593" t="s">
        <v>15</v>
      </c>
      <c r="I17" s="600">
        <v>0.54400000000000004</v>
      </c>
      <c r="J17" s="593" t="s">
        <v>15</v>
      </c>
      <c r="K17" s="593"/>
      <c r="L17" s="707"/>
      <c r="U17" s="450"/>
      <c r="V17" s="450"/>
    </row>
    <row r="18" spans="1:22" ht="15" thickBot="1" x14ac:dyDescent="0.35">
      <c r="A18" s="633"/>
      <c r="B18" s="713"/>
      <c r="C18" s="17"/>
      <c r="D18" s="636" t="s">
        <v>17</v>
      </c>
      <c r="E18" s="637"/>
      <c r="F18" s="637"/>
      <c r="G18" s="637"/>
      <c r="H18" s="637"/>
      <c r="I18" s="637"/>
      <c r="J18" s="547"/>
      <c r="K18" s="547"/>
      <c r="L18" s="707"/>
    </row>
    <row r="19" spans="1:22" ht="15.75" customHeight="1" thickBot="1" x14ac:dyDescent="0.35">
      <c r="A19" s="634"/>
      <c r="B19" s="714"/>
      <c r="C19" s="596"/>
      <c r="D19" s="654" t="s">
        <v>26</v>
      </c>
      <c r="E19" s="655"/>
      <c r="F19" s="655"/>
      <c r="G19" s="655"/>
      <c r="H19" s="655"/>
      <c r="I19" s="656"/>
      <c r="J19" s="601"/>
      <c r="K19" s="601"/>
      <c r="L19" s="709"/>
    </row>
    <row r="20" spans="1:22" x14ac:dyDescent="0.3">
      <c r="A20" s="21"/>
      <c r="B20" s="21"/>
      <c r="C20" s="22"/>
      <c r="D20" s="22"/>
      <c r="E20" s="22"/>
      <c r="F20" s="22"/>
      <c r="G20" s="22"/>
      <c r="H20" s="22"/>
      <c r="I20" s="22"/>
      <c r="J20" s="22"/>
      <c r="K20" s="22"/>
      <c r="L20" s="4"/>
    </row>
    <row r="21" spans="1:22" x14ac:dyDescent="0.3">
      <c r="A21" s="4"/>
      <c r="B21" s="4"/>
      <c r="C21" s="4"/>
      <c r="D21" s="4"/>
      <c r="E21" s="4"/>
      <c r="F21" s="4"/>
      <c r="G21" s="4"/>
      <c r="H21" s="4"/>
      <c r="I21" s="4"/>
      <c r="J21" s="4"/>
      <c r="K21" s="4"/>
      <c r="L21" s="4"/>
      <c r="O21" s="1"/>
    </row>
    <row r="22" spans="1:22" ht="15" thickBot="1" x14ac:dyDescent="0.35">
      <c r="A22" s="4"/>
      <c r="B22" s="4"/>
      <c r="C22" s="4"/>
      <c r="D22" s="4"/>
      <c r="E22" s="4"/>
      <c r="F22" s="4"/>
      <c r="G22" s="4"/>
      <c r="H22" s="4"/>
      <c r="I22" s="4"/>
      <c r="J22" s="4"/>
      <c r="K22" s="4"/>
      <c r="L22" s="4"/>
      <c r="O22" s="1"/>
    </row>
    <row r="23" spans="1:22" ht="13.5" customHeight="1" thickBot="1" x14ac:dyDescent="0.35">
      <c r="A23" s="23" t="s">
        <v>20</v>
      </c>
      <c r="B23" s="7" t="s">
        <v>21</v>
      </c>
      <c r="C23" s="7"/>
      <c r="D23" s="247" t="s">
        <v>5</v>
      </c>
      <c r="E23" s="247" t="s">
        <v>6</v>
      </c>
      <c r="F23" s="247" t="s">
        <v>7</v>
      </c>
      <c r="G23" s="247" t="s">
        <v>8</v>
      </c>
      <c r="H23" s="247" t="s">
        <v>9</v>
      </c>
      <c r="I23" s="247" t="s">
        <v>10</v>
      </c>
      <c r="J23" s="247" t="s">
        <v>1</v>
      </c>
      <c r="K23" s="269" t="s">
        <v>263</v>
      </c>
      <c r="L23" s="24" t="s">
        <v>22</v>
      </c>
      <c r="O23" s="1"/>
      <c r="U23" s="8"/>
      <c r="V23" s="8"/>
    </row>
    <row r="24" spans="1:22" ht="12.75" customHeight="1" thickBot="1" x14ac:dyDescent="0.35">
      <c r="A24" s="632" t="s">
        <v>23</v>
      </c>
      <c r="B24" s="632" t="s">
        <v>24</v>
      </c>
      <c r="C24" s="10" t="s">
        <v>14</v>
      </c>
      <c r="D24" s="25">
        <v>5.2999999999999999E-2</v>
      </c>
      <c r="E24" s="12" t="s">
        <v>15</v>
      </c>
      <c r="F24" s="12" t="s">
        <v>15</v>
      </c>
      <c r="G24" s="12" t="s">
        <v>15</v>
      </c>
      <c r="H24" s="12" t="s">
        <v>15</v>
      </c>
      <c r="I24" s="495">
        <v>0.1</v>
      </c>
      <c r="J24" s="12" t="s">
        <v>15</v>
      </c>
      <c r="K24" s="14"/>
      <c r="L24" s="642" t="s">
        <v>25</v>
      </c>
      <c r="O24" s="1"/>
      <c r="U24" s="12" t="s">
        <v>15</v>
      </c>
      <c r="V24" s="12" t="s">
        <v>15</v>
      </c>
    </row>
    <row r="25" spans="1:22" ht="12.75" customHeight="1" thickBot="1" x14ac:dyDescent="0.35">
      <c r="A25" s="633"/>
      <c r="B25" s="633"/>
      <c r="C25" s="15" t="s">
        <v>16</v>
      </c>
      <c r="D25" s="26"/>
      <c r="E25" s="12" t="s">
        <v>15</v>
      </c>
      <c r="F25" s="12" t="s">
        <v>15</v>
      </c>
      <c r="G25" s="12" t="s">
        <v>15</v>
      </c>
      <c r="H25" s="12" t="s">
        <v>15</v>
      </c>
      <c r="I25" s="496" t="s">
        <v>633</v>
      </c>
      <c r="J25" s="12" t="s">
        <v>15</v>
      </c>
      <c r="K25" s="14"/>
      <c r="L25" s="643"/>
      <c r="O25" s="1"/>
      <c r="U25" s="12" t="s">
        <v>15</v>
      </c>
      <c r="V25" s="12" t="s">
        <v>15</v>
      </c>
    </row>
    <row r="26" spans="1:22" ht="23.4" thickBot="1" x14ac:dyDescent="0.35">
      <c r="A26" s="633"/>
      <c r="B26" s="633"/>
      <c r="C26" s="325" t="s">
        <v>264</v>
      </c>
      <c r="D26" s="326">
        <v>8.8999999999999996E-2</v>
      </c>
      <c r="E26" s="12" t="s">
        <v>15</v>
      </c>
      <c r="F26" s="12" t="s">
        <v>15</v>
      </c>
      <c r="G26" s="12" t="s">
        <v>15</v>
      </c>
      <c r="H26" s="12" t="s">
        <v>15</v>
      </c>
      <c r="I26" s="497">
        <v>9.1999999999999998E-2</v>
      </c>
      <c r="J26" s="12"/>
      <c r="K26" s="12"/>
      <c r="L26" s="643"/>
      <c r="O26" s="1"/>
      <c r="U26" s="450"/>
      <c r="V26" s="450"/>
    </row>
    <row r="27" spans="1:22" ht="15" thickBot="1" x14ac:dyDescent="0.35">
      <c r="A27" s="633"/>
      <c r="B27" s="633"/>
      <c r="C27" s="17"/>
      <c r="D27" s="636" t="s">
        <v>17</v>
      </c>
      <c r="E27" s="637"/>
      <c r="F27" s="637"/>
      <c r="G27" s="637"/>
      <c r="H27" s="637"/>
      <c r="I27" s="637"/>
      <c r="J27" s="27"/>
      <c r="K27" s="27"/>
      <c r="L27" s="643"/>
      <c r="M27" s="1"/>
      <c r="N27" s="1"/>
      <c r="O27" s="1"/>
    </row>
    <row r="28" spans="1:22" ht="13.5" customHeight="1" thickBot="1" x14ac:dyDescent="0.35">
      <c r="A28" s="633"/>
      <c r="B28" s="634"/>
      <c r="C28" s="19"/>
      <c r="D28" s="654" t="s">
        <v>26</v>
      </c>
      <c r="E28" s="655"/>
      <c r="F28" s="655"/>
      <c r="G28" s="655"/>
      <c r="H28" s="655"/>
      <c r="I28" s="656"/>
      <c r="J28" s="28"/>
      <c r="K28" s="13"/>
      <c r="L28" s="643"/>
      <c r="M28" s="1"/>
      <c r="N28" s="1"/>
      <c r="O28" s="1"/>
    </row>
    <row r="29" spans="1:22" s="30" customFormat="1" ht="26.25" customHeight="1" thickBot="1" x14ac:dyDescent="0.35">
      <c r="A29" s="633"/>
      <c r="B29" s="29" t="s">
        <v>27</v>
      </c>
      <c r="C29" s="29"/>
      <c r="D29" s="247" t="s">
        <v>5</v>
      </c>
      <c r="E29" s="247" t="s">
        <v>6</v>
      </c>
      <c r="F29" s="247" t="s">
        <v>7</v>
      </c>
      <c r="G29" s="247" t="s">
        <v>8</v>
      </c>
      <c r="H29" s="247" t="s">
        <v>9</v>
      </c>
      <c r="I29" s="247" t="s">
        <v>10</v>
      </c>
      <c r="J29" s="247" t="s">
        <v>1</v>
      </c>
      <c r="K29" s="269" t="s">
        <v>263</v>
      </c>
      <c r="L29" s="643"/>
      <c r="U29" s="645" t="s">
        <v>28</v>
      </c>
      <c r="V29" s="646"/>
    </row>
    <row r="30" spans="1:22" ht="13.5" customHeight="1" thickBot="1" x14ac:dyDescent="0.35">
      <c r="A30" s="633"/>
      <c r="B30" s="668" t="s">
        <v>29</v>
      </c>
      <c r="C30" s="10" t="s">
        <v>14</v>
      </c>
      <c r="D30" s="11" t="s">
        <v>30</v>
      </c>
      <c r="E30" s="32">
        <f>'Tab K'!B103</f>
        <v>59625</v>
      </c>
      <c r="F30" s="32">
        <f>'Tab K'!C103</f>
        <v>179063</v>
      </c>
      <c r="G30" s="32">
        <f>'Tab K'!D103</f>
        <v>143999.86758258854</v>
      </c>
      <c r="H30" s="32">
        <f>'Tab K'!E103</f>
        <v>176248.95130454891</v>
      </c>
      <c r="I30" s="32">
        <f>'Tab K'!F103</f>
        <v>196214.31916850572</v>
      </c>
      <c r="J30" s="32">
        <f>'Tab K'!G103</f>
        <v>294111.23444800003</v>
      </c>
      <c r="K30" s="35">
        <f>SUM(E31:I31,J30)</f>
        <v>1238980.7844479999</v>
      </c>
      <c r="L30" s="643"/>
      <c r="M30" s="1"/>
      <c r="N30" s="1"/>
      <c r="O30" s="33"/>
      <c r="U30" s="34">
        <v>47091.436600441375</v>
      </c>
      <c r="V30" s="35"/>
    </row>
    <row r="31" spans="1:22" ht="15" thickBot="1" x14ac:dyDescent="0.35">
      <c r="A31" s="633"/>
      <c r="B31" s="669"/>
      <c r="C31" s="15" t="s">
        <v>16</v>
      </c>
      <c r="D31" s="16"/>
      <c r="E31" s="36">
        <v>65472</v>
      </c>
      <c r="F31" s="36">
        <v>160807</v>
      </c>
      <c r="G31" s="36">
        <v>220836</v>
      </c>
      <c r="H31" s="36">
        <v>213788.7</v>
      </c>
      <c r="I31" s="36">
        <v>283965.84999999998</v>
      </c>
      <c r="J31" s="37"/>
      <c r="K31" s="35">
        <f>SUM(E31:J31)</f>
        <v>944869.54999999993</v>
      </c>
      <c r="L31" s="643"/>
      <c r="M31" s="1"/>
      <c r="N31" s="1"/>
      <c r="O31" s="33"/>
      <c r="U31" s="38">
        <v>67474</v>
      </c>
      <c r="V31" s="39"/>
    </row>
    <row r="32" spans="1:22" ht="15" thickBot="1" x14ac:dyDescent="0.35">
      <c r="A32" s="633"/>
      <c r="B32" s="669"/>
      <c r="C32" s="498" t="s">
        <v>31</v>
      </c>
      <c r="D32" s="133"/>
      <c r="E32" s="41">
        <v>1.0980681988054191</v>
      </c>
      <c r="F32" s="41">
        <v>0.89804705606406687</v>
      </c>
      <c r="G32" s="41">
        <v>1.5335833333333333</v>
      </c>
      <c r="H32" s="41">
        <v>1.2129891882814452</v>
      </c>
      <c r="I32" s="499">
        <v>1.4473547783046796</v>
      </c>
      <c r="J32" s="42">
        <f>J31/J30</f>
        <v>0</v>
      </c>
      <c r="K32" s="42">
        <f>K31/K30</f>
        <v>0.76261840527330327</v>
      </c>
      <c r="L32" s="643"/>
      <c r="M32" s="1"/>
      <c r="N32" s="1"/>
      <c r="O32" s="33"/>
      <c r="U32" s="671">
        <f>U31/U30</f>
        <v>1.432829509375545</v>
      </c>
      <c r="V32" s="672"/>
    </row>
    <row r="33" spans="1:22" ht="15" thickBot="1" x14ac:dyDescent="0.35">
      <c r="A33" s="633"/>
      <c r="B33" s="669"/>
      <c r="C33" s="17"/>
      <c r="D33" s="636" t="s">
        <v>17</v>
      </c>
      <c r="E33" s="637"/>
      <c r="F33" s="637"/>
      <c r="G33" s="637"/>
      <c r="H33" s="637"/>
      <c r="I33" s="637"/>
      <c r="J33" s="43"/>
      <c r="K33" s="43"/>
      <c r="L33" s="643"/>
      <c r="M33" s="1"/>
      <c r="N33" s="1"/>
      <c r="O33" s="1"/>
    </row>
    <row r="34" spans="1:22" ht="15.75" customHeight="1" thickBot="1" x14ac:dyDescent="0.35">
      <c r="A34" s="633"/>
      <c r="B34" s="670"/>
      <c r="C34" s="19"/>
      <c r="D34" s="654" t="s">
        <v>32</v>
      </c>
      <c r="E34" s="655"/>
      <c r="F34" s="655"/>
      <c r="G34" s="655"/>
      <c r="H34" s="655"/>
      <c r="I34" s="655"/>
      <c r="J34" s="44"/>
      <c r="K34" s="44"/>
      <c r="L34" s="643"/>
      <c r="M34" s="1"/>
      <c r="N34" s="1"/>
      <c r="O34" s="33"/>
    </row>
    <row r="35" spans="1:22" s="30" customFormat="1" ht="30.75" customHeight="1" thickBot="1" x14ac:dyDescent="0.35">
      <c r="A35" s="633"/>
      <c r="B35" s="45" t="s">
        <v>33</v>
      </c>
      <c r="C35" s="45"/>
      <c r="D35" s="247" t="s">
        <v>5</v>
      </c>
      <c r="E35" s="247" t="s">
        <v>6</v>
      </c>
      <c r="F35" s="247" t="s">
        <v>7</v>
      </c>
      <c r="G35" s="247" t="s">
        <v>8</v>
      </c>
      <c r="H35" s="247" t="s">
        <v>9</v>
      </c>
      <c r="I35" s="247" t="s">
        <v>10</v>
      </c>
      <c r="J35" s="247" t="s">
        <v>1</v>
      </c>
      <c r="K35" s="269" t="s">
        <v>263</v>
      </c>
      <c r="L35" s="643"/>
      <c r="O35" s="46"/>
      <c r="U35" s="47" t="s">
        <v>11</v>
      </c>
      <c r="V35" s="47" t="s">
        <v>34</v>
      </c>
    </row>
    <row r="36" spans="1:22" ht="13.5" customHeight="1" thickBot="1" x14ac:dyDescent="0.35">
      <c r="A36" s="633"/>
      <c r="B36" s="668" t="s">
        <v>519</v>
      </c>
      <c r="C36" s="673" t="s">
        <v>14</v>
      </c>
      <c r="D36" s="34">
        <v>187292.50031500001</v>
      </c>
      <c r="E36" s="50">
        <f>'Tab J'!E17*'Tab I'!BM60</f>
        <v>218691.14177600003</v>
      </c>
      <c r="F36" s="50">
        <f>'Tab J'!F17*'Tab I'!BN60</f>
        <v>293425.27936000004</v>
      </c>
      <c r="G36" s="50">
        <f>'Tab J'!G17*'Tab I'!BO60</f>
        <v>305328.03422039998</v>
      </c>
      <c r="H36" s="50">
        <f>'Tab J'!H17*'Tab I'!BP60</f>
        <v>329843.53068721201</v>
      </c>
      <c r="I36" s="50">
        <f>'Tab J'!I17*'Tab I'!BQ60</f>
        <v>339739.00000000006</v>
      </c>
      <c r="J36" s="50">
        <f>'Tab J'!J17*'Tab I'!BR60</f>
        <v>352143.8</v>
      </c>
      <c r="K36" s="35">
        <f>SUM(E38:I38,J36)</f>
        <v>1822714.8</v>
      </c>
      <c r="L36" s="643"/>
      <c r="M36" s="30"/>
      <c r="N36" s="1"/>
      <c r="O36" s="1"/>
      <c r="U36" s="49">
        <v>94371.899057730101</v>
      </c>
      <c r="V36" s="49">
        <v>88096.167770391054</v>
      </c>
    </row>
    <row r="37" spans="1:22" ht="13.5" customHeight="1" thickBot="1" x14ac:dyDescent="0.35">
      <c r="A37" s="633"/>
      <c r="B37" s="669"/>
      <c r="C37" s="702"/>
      <c r="D37" s="52">
        <v>0.62194195973340405</v>
      </c>
      <c r="E37" s="41">
        <f>'Tab J'!E17</f>
        <v>0.74509999999999998</v>
      </c>
      <c r="F37" s="41">
        <f>'Tab J'!F17</f>
        <v>0.8</v>
      </c>
      <c r="G37" s="41">
        <f>'Tab J'!G17</f>
        <v>0.85</v>
      </c>
      <c r="H37" s="41">
        <f>'Tab J'!H17</f>
        <v>0.9</v>
      </c>
      <c r="I37" s="41">
        <f>'Tab J'!I17</f>
        <v>0.90000043284116693</v>
      </c>
      <c r="J37" s="41">
        <f>'Tab J'!J17</f>
        <v>0.92</v>
      </c>
      <c r="K37" s="41"/>
      <c r="L37" s="643"/>
      <c r="M37" s="30"/>
      <c r="N37" s="1"/>
      <c r="O37" s="1"/>
      <c r="U37" s="53"/>
      <c r="V37" s="54">
        <f>V36/U36</f>
        <v>0.9335</v>
      </c>
    </row>
    <row r="38" spans="1:22" ht="15" thickBot="1" x14ac:dyDescent="0.35">
      <c r="A38" s="633"/>
      <c r="B38" s="692"/>
      <c r="C38" s="55" t="s">
        <v>16</v>
      </c>
      <c r="D38" s="56"/>
      <c r="E38" s="48">
        <v>213716</v>
      </c>
      <c r="F38" s="48">
        <v>264550</v>
      </c>
      <c r="G38" s="50">
        <v>300756</v>
      </c>
      <c r="H38" s="50">
        <v>335295</v>
      </c>
      <c r="I38" s="49">
        <v>356254</v>
      </c>
      <c r="J38" s="37"/>
      <c r="K38" s="35">
        <f>SUM(E38:J38)</f>
        <v>1470571</v>
      </c>
      <c r="L38" s="643"/>
      <c r="M38" s="30"/>
      <c r="N38" s="1"/>
      <c r="O38" s="1"/>
      <c r="P38" s="1"/>
      <c r="Q38" s="1"/>
      <c r="R38" s="1"/>
      <c r="S38" s="1"/>
      <c r="T38" s="1"/>
      <c r="U38" s="50"/>
      <c r="V38" s="49">
        <v>80460</v>
      </c>
    </row>
    <row r="39" spans="1:22" ht="15" thickBot="1" x14ac:dyDescent="0.35">
      <c r="A39" s="633"/>
      <c r="B39" s="692"/>
      <c r="C39" s="500" t="s">
        <v>31</v>
      </c>
      <c r="D39" s="501"/>
      <c r="E39" s="41">
        <v>0.97725100712877988</v>
      </c>
      <c r="F39" s="41">
        <v>0.90159325210871599</v>
      </c>
      <c r="G39" s="502">
        <v>0.98502582891848178</v>
      </c>
      <c r="H39" s="502">
        <v>1.0165274404546609</v>
      </c>
      <c r="I39" s="248">
        <v>1.0486108551755458</v>
      </c>
      <c r="J39" s="82">
        <f>J38/J36</f>
        <v>0</v>
      </c>
      <c r="K39" s="82">
        <f>K38/K36</f>
        <v>0.80680257822013624</v>
      </c>
      <c r="L39" s="643"/>
      <c r="M39" s="30"/>
      <c r="N39" s="1"/>
      <c r="O39" s="1"/>
      <c r="P39" s="1"/>
      <c r="Q39" s="1"/>
      <c r="R39" s="1"/>
      <c r="S39" s="1"/>
      <c r="T39" s="1"/>
      <c r="U39" s="59"/>
      <c r="V39" s="54">
        <f>V38/V36</f>
        <v>0.91332009139950854</v>
      </c>
    </row>
    <row r="40" spans="1:22" ht="15" thickBot="1" x14ac:dyDescent="0.35">
      <c r="A40" s="633"/>
      <c r="B40" s="692"/>
      <c r="C40" s="61" t="s">
        <v>36</v>
      </c>
      <c r="D40" s="62"/>
      <c r="E40" s="63">
        <v>0.73</v>
      </c>
      <c r="F40" s="63">
        <v>0.72</v>
      </c>
      <c r="G40" s="64">
        <v>0.83727195458070947</v>
      </c>
      <c r="H40" s="64">
        <v>0.91487469640919483</v>
      </c>
      <c r="I40" s="65">
        <v>0.94375021472776766</v>
      </c>
      <c r="J40" s="66">
        <f>J38/'Tab I'!BR60</f>
        <v>0</v>
      </c>
      <c r="K40" s="66"/>
      <c r="L40" s="643"/>
      <c r="M40" s="1"/>
      <c r="N40" s="1"/>
      <c r="O40" s="33"/>
      <c r="P40" s="1"/>
      <c r="Q40" s="1"/>
      <c r="R40" s="1"/>
      <c r="S40" s="1"/>
      <c r="T40" s="1"/>
      <c r="U40" s="67">
        <f>V38/U36</f>
        <v>0.85258430532144136</v>
      </c>
      <c r="V40" s="53"/>
    </row>
    <row r="41" spans="1:22" ht="15" thickBot="1" x14ac:dyDescent="0.35">
      <c r="A41" s="633"/>
      <c r="B41" s="669"/>
      <c r="C41" s="40"/>
      <c r="D41" s="703" t="s">
        <v>17</v>
      </c>
      <c r="E41" s="703"/>
      <c r="F41" s="703"/>
      <c r="G41" s="703"/>
      <c r="H41" s="703"/>
      <c r="I41" s="703"/>
      <c r="J41" s="68"/>
      <c r="K41" s="69"/>
      <c r="L41" s="643"/>
      <c r="M41" s="1"/>
      <c r="N41" s="1"/>
      <c r="O41" s="1"/>
      <c r="P41" s="1"/>
      <c r="Q41" s="1"/>
      <c r="R41" s="1"/>
      <c r="S41" s="1"/>
      <c r="T41" s="1"/>
      <c r="U41" s="1"/>
      <c r="V41" s="1"/>
    </row>
    <row r="42" spans="1:22" ht="15" thickBot="1" x14ac:dyDescent="0.35">
      <c r="A42" s="633"/>
      <c r="B42" s="670"/>
      <c r="C42" s="15"/>
      <c r="D42" s="654" t="s">
        <v>37</v>
      </c>
      <c r="E42" s="655"/>
      <c r="F42" s="655"/>
      <c r="G42" s="655"/>
      <c r="H42" s="655"/>
      <c r="I42" s="655"/>
      <c r="J42" s="44"/>
      <c r="K42" s="44"/>
      <c r="L42" s="643"/>
      <c r="M42" s="1"/>
      <c r="N42" s="1"/>
      <c r="O42" s="1"/>
      <c r="P42" s="1"/>
      <c r="Q42" s="1"/>
      <c r="R42" s="1"/>
      <c r="S42" s="1"/>
      <c r="T42" s="1"/>
      <c r="U42" s="1"/>
      <c r="V42" s="1"/>
    </row>
    <row r="43" spans="1:22" ht="30" customHeight="1" thickBot="1" x14ac:dyDescent="0.35">
      <c r="A43" s="633"/>
      <c r="B43" s="7" t="s">
        <v>38</v>
      </c>
      <c r="C43" s="70"/>
      <c r="D43" s="247" t="s">
        <v>5</v>
      </c>
      <c r="E43" s="247" t="s">
        <v>6</v>
      </c>
      <c r="F43" s="247" t="s">
        <v>7</v>
      </c>
      <c r="G43" s="247" t="s">
        <v>8</v>
      </c>
      <c r="H43" s="247" t="s">
        <v>9</v>
      </c>
      <c r="I43" s="247" t="s">
        <v>10</v>
      </c>
      <c r="J43" s="247" t="s">
        <v>1</v>
      </c>
      <c r="K43" s="269" t="s">
        <v>263</v>
      </c>
      <c r="L43" s="643"/>
      <c r="M43" s="1"/>
      <c r="N43" s="1"/>
      <c r="O43" s="1"/>
      <c r="P43" s="1"/>
      <c r="Q43" s="1"/>
      <c r="R43" s="1"/>
      <c r="S43" s="1"/>
      <c r="T43" s="1"/>
      <c r="U43" s="645" t="s">
        <v>28</v>
      </c>
      <c r="V43" s="646"/>
    </row>
    <row r="44" spans="1:22" ht="15" thickBot="1" x14ac:dyDescent="0.35">
      <c r="A44" s="633"/>
      <c r="B44" s="632" t="s">
        <v>39</v>
      </c>
      <c r="C44" s="71" t="s">
        <v>14</v>
      </c>
      <c r="D44" s="11" t="s">
        <v>30</v>
      </c>
      <c r="E44" s="49">
        <v>385</v>
      </c>
      <c r="F44" s="49">
        <v>963</v>
      </c>
      <c r="G44" s="49">
        <v>797.53377601785564</v>
      </c>
      <c r="H44" s="72">
        <v>1732</v>
      </c>
      <c r="I44" s="49">
        <v>850</v>
      </c>
      <c r="J44" s="72">
        <v>862</v>
      </c>
      <c r="K44" s="39">
        <f>SUM(E45:I45,J44)</f>
        <v>3694</v>
      </c>
      <c r="L44" s="643"/>
      <c r="M44" s="1"/>
      <c r="N44" s="1"/>
      <c r="O44" s="33"/>
      <c r="P44" s="1"/>
      <c r="Q44" s="1"/>
      <c r="R44" s="1"/>
      <c r="S44" s="1"/>
      <c r="T44" s="1"/>
      <c r="U44" s="34">
        <v>475.6343712509597</v>
      </c>
      <c r="V44" s="35"/>
    </row>
    <row r="45" spans="1:22" ht="15" thickBot="1" x14ac:dyDescent="0.35">
      <c r="A45" s="633"/>
      <c r="B45" s="633"/>
      <c r="C45" s="10" t="s">
        <v>16</v>
      </c>
      <c r="D45" s="73"/>
      <c r="E45" s="49">
        <v>236</v>
      </c>
      <c r="F45" s="49">
        <v>454</v>
      </c>
      <c r="G45" s="49">
        <v>595</v>
      </c>
      <c r="H45" s="49">
        <v>694</v>
      </c>
      <c r="I45" s="49">
        <v>853</v>
      </c>
      <c r="J45" s="37"/>
      <c r="K45" s="39">
        <f>SUM(E45:J45)</f>
        <v>2832</v>
      </c>
      <c r="L45" s="643"/>
      <c r="M45" s="1"/>
      <c r="N45" s="1"/>
      <c r="O45" s="33"/>
      <c r="P45" s="1"/>
      <c r="Q45" s="1"/>
      <c r="R45" s="1"/>
      <c r="S45" s="1"/>
      <c r="T45" s="1"/>
      <c r="U45" s="34">
        <v>193</v>
      </c>
      <c r="V45" s="35"/>
    </row>
    <row r="46" spans="1:22" ht="15" thickBot="1" x14ac:dyDescent="0.35">
      <c r="A46" s="633"/>
      <c r="B46" s="633"/>
      <c r="C46" s="40" t="s">
        <v>31</v>
      </c>
      <c r="D46" s="16"/>
      <c r="E46" s="41">
        <v>0.61298701298701297</v>
      </c>
      <c r="F46" s="41">
        <v>0.47144340602284529</v>
      </c>
      <c r="G46" s="41">
        <v>0.74604990771786295</v>
      </c>
      <c r="H46" s="41">
        <v>0.4007672241291626</v>
      </c>
      <c r="I46" s="248">
        <v>1.0035294117647058</v>
      </c>
      <c r="J46" s="114">
        <f>J45/J44</f>
        <v>0</v>
      </c>
      <c r="K46" s="114">
        <f>K45/K44</f>
        <v>0.76664861938278284</v>
      </c>
      <c r="L46" s="643"/>
      <c r="M46" s="1"/>
      <c r="N46" s="1"/>
      <c r="O46" s="33"/>
      <c r="P46" s="1"/>
      <c r="Q46" s="1"/>
      <c r="R46" s="1"/>
      <c r="S46" s="1"/>
      <c r="T46" s="1"/>
      <c r="U46" s="647">
        <f>U45/U44</f>
        <v>0.40577387099337087</v>
      </c>
      <c r="V46" s="648"/>
    </row>
    <row r="47" spans="1:22" ht="15" thickBot="1" x14ac:dyDescent="0.35">
      <c r="A47" s="633"/>
      <c r="B47" s="633"/>
      <c r="C47" s="651" t="s">
        <v>17</v>
      </c>
      <c r="D47" s="652"/>
      <c r="E47" s="652"/>
      <c r="F47" s="652"/>
      <c r="G47" s="652"/>
      <c r="H47" s="652"/>
      <c r="I47" s="652"/>
      <c r="J47" s="77"/>
      <c r="K47" s="18"/>
      <c r="L47" s="643"/>
      <c r="M47" s="1"/>
      <c r="N47" s="1"/>
      <c r="O47" s="1"/>
      <c r="P47" s="1"/>
      <c r="Q47" s="1"/>
      <c r="R47" s="1"/>
      <c r="S47" s="1"/>
      <c r="T47" s="1"/>
      <c r="U47" s="1"/>
      <c r="V47" s="1"/>
    </row>
    <row r="48" spans="1:22" ht="15.75" customHeight="1" thickBot="1" x14ac:dyDescent="0.35">
      <c r="A48" s="633"/>
      <c r="B48" s="634"/>
      <c r="C48" s="654" t="s">
        <v>32</v>
      </c>
      <c r="D48" s="655"/>
      <c r="E48" s="655"/>
      <c r="F48" s="655"/>
      <c r="G48" s="655"/>
      <c r="H48" s="655"/>
      <c r="I48" s="655"/>
      <c r="J48" s="44"/>
      <c r="K48" s="44"/>
      <c r="L48" s="643"/>
      <c r="M48" s="1"/>
      <c r="N48" s="1"/>
      <c r="O48" s="1"/>
      <c r="P48" s="1"/>
      <c r="Q48" s="1"/>
      <c r="R48" s="1"/>
      <c r="S48" s="1"/>
      <c r="T48" s="1"/>
      <c r="U48" s="1"/>
      <c r="V48" s="1"/>
    </row>
    <row r="49" spans="1:22" ht="30" customHeight="1" thickBot="1" x14ac:dyDescent="0.35">
      <c r="A49" s="633"/>
      <c r="B49" s="7" t="s">
        <v>40</v>
      </c>
      <c r="C49" s="7"/>
      <c r="D49" s="245" t="s">
        <v>5</v>
      </c>
      <c r="E49" s="245" t="s">
        <v>6</v>
      </c>
      <c r="F49" s="245" t="s">
        <v>7</v>
      </c>
      <c r="G49" s="245" t="s">
        <v>8</v>
      </c>
      <c r="H49" s="245" t="s">
        <v>9</v>
      </c>
      <c r="I49" s="247" t="s">
        <v>10</v>
      </c>
      <c r="J49" s="246" t="s">
        <v>1</v>
      </c>
      <c r="K49" s="269" t="s">
        <v>263</v>
      </c>
      <c r="L49" s="643"/>
      <c r="M49" s="1"/>
      <c r="N49" s="1"/>
      <c r="O49" s="1"/>
      <c r="P49" s="1"/>
      <c r="Q49" s="1"/>
      <c r="R49" s="1"/>
      <c r="S49" s="1"/>
      <c r="T49" s="1"/>
      <c r="U49" s="47" t="s">
        <v>11</v>
      </c>
      <c r="V49" s="47" t="s">
        <v>34</v>
      </c>
    </row>
    <row r="50" spans="1:22" ht="15" thickBot="1" x14ac:dyDescent="0.35">
      <c r="A50" s="633"/>
      <c r="B50" s="668" t="s">
        <v>41</v>
      </c>
      <c r="C50" s="673" t="s">
        <v>14</v>
      </c>
      <c r="D50" s="48">
        <v>184718.44917640003</v>
      </c>
      <c r="E50" s="50">
        <f>'Tab J'!E23*'Tab I'!F60</f>
        <v>230475.39804</v>
      </c>
      <c r="F50" s="50">
        <f>'Tab J'!F23*'Tab I'!G60</f>
        <v>294415.58967784006</v>
      </c>
      <c r="G50" s="50">
        <f>'Tab J'!G23*'Tab I'!H60</f>
        <v>291471.52960857423</v>
      </c>
      <c r="H50" s="50">
        <f>'Tab J'!H23*'Tab I'!I60</f>
        <v>300579.07965901896</v>
      </c>
      <c r="I50" s="50">
        <f>'Tab J'!I23*'Tab I'!J60</f>
        <v>279954.00000000006</v>
      </c>
      <c r="J50" s="50">
        <f>'Tab J'!J23*'Tab I'!K60</f>
        <v>313925.21999999997</v>
      </c>
      <c r="K50" s="35">
        <f>SUM(E52:I52,J50)</f>
        <v>1740609.22</v>
      </c>
      <c r="L50" s="643"/>
      <c r="M50" s="1"/>
      <c r="N50" s="1"/>
      <c r="O50" s="1"/>
      <c r="P50" s="1"/>
      <c r="Q50" s="1"/>
      <c r="R50" s="1"/>
      <c r="S50" s="1"/>
      <c r="T50" s="1"/>
      <c r="U50" s="49">
        <v>82339.481927869521</v>
      </c>
      <c r="V50" s="49">
        <v>78222.507831476047</v>
      </c>
    </row>
    <row r="51" spans="1:22" ht="15" thickBot="1" x14ac:dyDescent="0.35">
      <c r="A51" s="633"/>
      <c r="B51" s="669"/>
      <c r="C51" s="674"/>
      <c r="D51" s="41">
        <v>0.71618556627904806</v>
      </c>
      <c r="E51" s="41">
        <f>'Tab J'!E23</f>
        <v>0.9</v>
      </c>
      <c r="F51" s="41">
        <f>'Tab J'!F23</f>
        <v>0.92</v>
      </c>
      <c r="G51" s="41">
        <f>'Tab J'!G23</f>
        <v>0.93</v>
      </c>
      <c r="H51" s="41">
        <f>'Tab J'!H23</f>
        <v>0.94</v>
      </c>
      <c r="I51" s="41">
        <f>'Tab J'!I23</f>
        <v>0.84999927569754274</v>
      </c>
      <c r="J51" s="41">
        <f>'Tab J'!J23</f>
        <v>0.94</v>
      </c>
      <c r="K51" s="41"/>
      <c r="L51" s="643"/>
      <c r="M51" s="1"/>
      <c r="N51" s="1"/>
      <c r="O51" s="1"/>
      <c r="P51" s="1"/>
      <c r="Q51" s="1"/>
      <c r="R51" s="1"/>
      <c r="S51" s="1"/>
      <c r="T51" s="1"/>
      <c r="U51" s="53"/>
      <c r="V51" s="54">
        <f>V50/U50</f>
        <v>0.95000000000000007</v>
      </c>
    </row>
    <row r="52" spans="1:22" ht="15" thickBot="1" x14ac:dyDescent="0.35">
      <c r="A52" s="633"/>
      <c r="B52" s="669"/>
      <c r="C52" s="78" t="s">
        <v>16</v>
      </c>
      <c r="D52" s="79"/>
      <c r="E52" s="48">
        <v>232781</v>
      </c>
      <c r="F52" s="48">
        <v>300732</v>
      </c>
      <c r="G52" s="48">
        <v>301269</v>
      </c>
      <c r="H52" s="48">
        <v>300228</v>
      </c>
      <c r="I52" s="48">
        <v>291674</v>
      </c>
      <c r="J52" s="37"/>
      <c r="K52" s="35">
        <f>SUM(E52:J52)</f>
        <v>1426684</v>
      </c>
      <c r="L52" s="643"/>
      <c r="M52" s="1"/>
      <c r="N52" s="1"/>
      <c r="O52" s="1"/>
      <c r="P52" s="1"/>
      <c r="Q52" s="1"/>
      <c r="R52" s="1"/>
      <c r="S52" s="1"/>
      <c r="T52" s="1"/>
      <c r="U52" s="80"/>
      <c r="V52" s="49">
        <v>63567</v>
      </c>
    </row>
    <row r="53" spans="1:22" ht="15" thickBot="1" x14ac:dyDescent="0.35">
      <c r="A53" s="633"/>
      <c r="B53" s="669"/>
      <c r="C53" s="500" t="s">
        <v>31</v>
      </c>
      <c r="D53" s="79"/>
      <c r="E53" s="41">
        <v>1.0100036792629807</v>
      </c>
      <c r="F53" s="41">
        <v>1.0214540620252879</v>
      </c>
      <c r="G53" s="41">
        <v>1.0336138160889441</v>
      </c>
      <c r="H53" s="41">
        <v>0.99883198904123005</v>
      </c>
      <c r="I53" s="41">
        <v>1.0418640205176564</v>
      </c>
      <c r="J53" s="67">
        <f>J52/J50</f>
        <v>0</v>
      </c>
      <c r="K53" s="82">
        <f>K52/K50</f>
        <v>0.81964635347616965</v>
      </c>
      <c r="L53" s="643"/>
      <c r="M53" s="1"/>
      <c r="N53" s="1"/>
      <c r="O53" s="1"/>
      <c r="P53" s="1"/>
      <c r="Q53" s="1"/>
      <c r="R53" s="1"/>
      <c r="S53" s="1"/>
      <c r="T53" s="1"/>
      <c r="U53" s="54"/>
      <c r="V53" s="54">
        <f>V52/V50</f>
        <v>0.81264333965039659</v>
      </c>
    </row>
    <row r="54" spans="1:22" ht="15" thickBot="1" x14ac:dyDescent="0.35">
      <c r="A54" s="633"/>
      <c r="B54" s="669"/>
      <c r="C54" s="81" t="s">
        <v>36</v>
      </c>
      <c r="D54" s="16"/>
      <c r="E54" s="41">
        <v>0.91</v>
      </c>
      <c r="F54" s="41">
        <v>0.94</v>
      </c>
      <c r="G54" s="41">
        <v>0.96126084896271802</v>
      </c>
      <c r="H54" s="41">
        <v>0.938902069698756</v>
      </c>
      <c r="I54" s="41">
        <v>0.88558366281533774</v>
      </c>
      <c r="J54" s="244">
        <f>J52/'Tab I'!K60</f>
        <v>0</v>
      </c>
      <c r="K54" s="244"/>
      <c r="L54" s="643"/>
      <c r="M54" s="1"/>
      <c r="N54" s="1"/>
      <c r="O54" s="33"/>
      <c r="P54" s="1"/>
      <c r="Q54" s="1"/>
      <c r="R54" s="1"/>
      <c r="S54" s="1"/>
      <c r="T54" s="1"/>
      <c r="U54" s="53">
        <f>V52/U50</f>
        <v>0.77201117266787678</v>
      </c>
      <c r="V54" s="53"/>
    </row>
    <row r="55" spans="1:22" ht="15" thickBot="1" x14ac:dyDescent="0.35">
      <c r="A55" s="633"/>
      <c r="B55" s="669"/>
      <c r="C55" s="17"/>
      <c r="D55" s="636" t="s">
        <v>17</v>
      </c>
      <c r="E55" s="637"/>
      <c r="F55" s="637"/>
      <c r="G55" s="637"/>
      <c r="H55" s="637"/>
      <c r="I55" s="637"/>
      <c r="J55" s="18"/>
      <c r="K55" s="18"/>
      <c r="L55" s="643"/>
      <c r="M55" s="1"/>
      <c r="N55" s="1"/>
      <c r="O55" s="1"/>
      <c r="P55" s="1"/>
      <c r="Q55" s="1"/>
      <c r="R55" s="1"/>
      <c r="S55" s="1"/>
      <c r="T55" s="1"/>
      <c r="U55" s="1"/>
      <c r="V55" s="1"/>
    </row>
    <row r="56" spans="1:22" ht="15" thickBot="1" x14ac:dyDescent="0.35">
      <c r="A56" s="633"/>
      <c r="B56" s="670"/>
      <c r="C56" s="19"/>
      <c r="D56" s="654" t="s">
        <v>37</v>
      </c>
      <c r="E56" s="655"/>
      <c r="F56" s="655"/>
      <c r="G56" s="655"/>
      <c r="H56" s="655"/>
      <c r="I56" s="655"/>
      <c r="J56" s="44"/>
      <c r="K56" s="44"/>
      <c r="L56" s="643"/>
      <c r="M56" s="1"/>
      <c r="N56" s="1"/>
      <c r="O56" s="1"/>
      <c r="P56" s="1"/>
      <c r="Q56" s="1"/>
      <c r="R56" s="1"/>
      <c r="S56" s="1"/>
      <c r="T56" s="1"/>
      <c r="U56" s="1"/>
      <c r="V56" s="1"/>
    </row>
    <row r="57" spans="1:22" ht="28.5" customHeight="1" thickBot="1" x14ac:dyDescent="0.35">
      <c r="A57" s="633"/>
      <c r="B57" s="7" t="s">
        <v>42</v>
      </c>
      <c r="C57" s="7"/>
      <c r="D57" s="245" t="s">
        <v>5</v>
      </c>
      <c r="E57" s="245" t="s">
        <v>6</v>
      </c>
      <c r="F57" s="245" t="s">
        <v>7</v>
      </c>
      <c r="G57" s="245" t="s">
        <v>8</v>
      </c>
      <c r="H57" s="245" t="s">
        <v>9</v>
      </c>
      <c r="I57" s="247" t="s">
        <v>10</v>
      </c>
      <c r="J57" s="246" t="s">
        <v>1</v>
      </c>
      <c r="K57" s="269" t="s">
        <v>263</v>
      </c>
      <c r="L57" s="643"/>
      <c r="M57" s="1"/>
      <c r="N57" s="1"/>
      <c r="O57" s="1"/>
      <c r="P57" s="1"/>
      <c r="Q57" s="1"/>
      <c r="R57" s="1"/>
      <c r="S57" s="1"/>
      <c r="T57" s="1"/>
      <c r="U57" s="47" t="s">
        <v>11</v>
      </c>
      <c r="V57" s="47" t="s">
        <v>34</v>
      </c>
    </row>
    <row r="58" spans="1:22" ht="15" thickBot="1" x14ac:dyDescent="0.35">
      <c r="A58" s="633"/>
      <c r="B58" s="668" t="s">
        <v>43</v>
      </c>
      <c r="C58" s="673" t="s">
        <v>14</v>
      </c>
      <c r="D58" s="48">
        <v>2504339.2189999996</v>
      </c>
      <c r="E58" s="50">
        <f>'Tab J'!E26*'Tab H'!L59</f>
        <v>2714928.28</v>
      </c>
      <c r="F58" s="50">
        <f>'Tab J'!F26*'Tab H'!M59</f>
        <v>4126292.9910000013</v>
      </c>
      <c r="G58" s="50">
        <f>'Tab J'!G26*'Tab H'!N59</f>
        <v>4490118.1502999999</v>
      </c>
      <c r="H58" s="50">
        <f>'Tab J'!H26*'Tab H'!O59</f>
        <v>5039276.1632768502</v>
      </c>
      <c r="I58" s="50">
        <f>'Tab J'!I26*'Tab H'!P59</f>
        <v>4864871.0000000009</v>
      </c>
      <c r="J58" s="50">
        <f>'Tab J'!J26*'Tab H'!Q59</f>
        <v>5263024.8000000007</v>
      </c>
      <c r="K58" s="35">
        <f>SUM(E62:I62,J58)</f>
        <v>25631138.760000002</v>
      </c>
      <c r="L58" s="643"/>
      <c r="M58" s="1"/>
      <c r="N58" s="1"/>
      <c r="O58" s="1"/>
      <c r="P58" s="1"/>
      <c r="Q58" s="1"/>
      <c r="R58" s="1"/>
      <c r="S58" s="1"/>
      <c r="T58" s="1"/>
      <c r="U58" s="49">
        <v>2359297.4764432525</v>
      </c>
      <c r="V58" s="49">
        <v>1368392.5363370865</v>
      </c>
    </row>
    <row r="59" spans="1:22" ht="15" thickBot="1" x14ac:dyDescent="0.35">
      <c r="A59" s="633"/>
      <c r="B59" s="669"/>
      <c r="C59" s="674"/>
      <c r="D59" s="41">
        <v>0.31391237540250083</v>
      </c>
      <c r="E59" s="41">
        <v>0.37</v>
      </c>
      <c r="F59" s="41">
        <v>0.45</v>
      </c>
      <c r="G59" s="41">
        <v>0.5</v>
      </c>
      <c r="H59" s="41">
        <v>0.55000000000000004</v>
      </c>
      <c r="I59" s="41">
        <v>0.51549995799321724</v>
      </c>
      <c r="J59" s="41">
        <v>0.55000000000000004</v>
      </c>
      <c r="K59" s="41"/>
      <c r="L59" s="643"/>
      <c r="M59" s="1"/>
      <c r="N59" s="1"/>
      <c r="O59" s="1"/>
      <c r="P59" s="1"/>
      <c r="Q59" s="1"/>
      <c r="R59" s="1"/>
      <c r="S59" s="1"/>
      <c r="T59" s="1"/>
      <c r="U59" s="53"/>
      <c r="V59" s="54">
        <f>V58/U58</f>
        <v>0.57999999999999996</v>
      </c>
    </row>
    <row r="60" spans="1:22" ht="15" thickBot="1" x14ac:dyDescent="0.35">
      <c r="A60" s="633"/>
      <c r="B60" s="669"/>
      <c r="C60" s="673" t="s">
        <v>44</v>
      </c>
      <c r="D60" s="85" t="s">
        <v>45</v>
      </c>
      <c r="E60" s="103"/>
      <c r="F60" s="103"/>
      <c r="G60" s="327">
        <f>G58*0.04</f>
        <v>179604.726012</v>
      </c>
      <c r="H60" s="327">
        <f>H58*0.04</f>
        <v>201571.04653107401</v>
      </c>
      <c r="I60" s="327">
        <f>I58*0.04</f>
        <v>194594.84000000005</v>
      </c>
      <c r="J60" s="51">
        <f>'Tab J'!J26*'Tab I'!BR60</f>
        <v>210520.75000000003</v>
      </c>
      <c r="K60" s="35">
        <f>SUM(E60:J60)</f>
        <v>786291.36254307406</v>
      </c>
      <c r="L60" s="643"/>
      <c r="M60" s="1"/>
      <c r="N60" s="1"/>
      <c r="O60" s="1"/>
      <c r="P60" s="1"/>
      <c r="Q60" s="1"/>
      <c r="R60" s="1"/>
      <c r="S60" s="1"/>
      <c r="T60" s="1"/>
      <c r="U60" s="86">
        <f>V58*5%</f>
        <v>68419.626816854332</v>
      </c>
      <c r="V60" s="86">
        <v>67472</v>
      </c>
    </row>
    <row r="61" spans="1:22" ht="15" thickBot="1" x14ac:dyDescent="0.35">
      <c r="A61" s="633"/>
      <c r="B61" s="669"/>
      <c r="C61" s="674"/>
      <c r="D61" s="87" t="s">
        <v>46</v>
      </c>
      <c r="E61" s="106"/>
      <c r="F61" s="106"/>
      <c r="G61" s="88">
        <f>G58*0.18</f>
        <v>808221.26705399994</v>
      </c>
      <c r="H61" s="88">
        <f>H58*0.18</f>
        <v>907069.70938983303</v>
      </c>
      <c r="I61" s="88">
        <f>I58*0.18</f>
        <v>875676.78000000014</v>
      </c>
      <c r="J61" s="51">
        <f>'Tab J'!J26*'Tab I'!AF60</f>
        <v>994710.75000000012</v>
      </c>
      <c r="K61" s="35">
        <f>SUM(E61:J61)</f>
        <v>3585678.506443833</v>
      </c>
      <c r="L61" s="643"/>
      <c r="M61" s="1"/>
      <c r="N61" s="1"/>
      <c r="O61" s="1"/>
      <c r="P61" s="1"/>
      <c r="Q61" s="1"/>
      <c r="R61" s="1"/>
      <c r="S61" s="1"/>
      <c r="T61" s="1"/>
      <c r="U61" s="88">
        <f>V58*0.45</f>
        <v>615776.64135168889</v>
      </c>
      <c r="V61" s="88">
        <v>605848</v>
      </c>
    </row>
    <row r="62" spans="1:22" ht="15" thickBot="1" x14ac:dyDescent="0.35">
      <c r="A62" s="633"/>
      <c r="B62" s="669"/>
      <c r="C62" s="78" t="s">
        <v>16</v>
      </c>
      <c r="D62" s="79"/>
      <c r="E62" s="89">
        <v>2494798.96</v>
      </c>
      <c r="F62" s="89">
        <v>3116244</v>
      </c>
      <c r="G62" s="83">
        <v>4286064</v>
      </c>
      <c r="H62" s="89">
        <v>4838516</v>
      </c>
      <c r="I62" s="89">
        <v>5632491</v>
      </c>
      <c r="J62" s="89"/>
      <c r="K62" s="35">
        <f>SUM(E62:J62)</f>
        <v>20368113.960000001</v>
      </c>
      <c r="L62" s="643"/>
      <c r="M62" s="1"/>
      <c r="N62" s="1"/>
      <c r="O62" s="1"/>
      <c r="P62" s="1"/>
      <c r="Q62" s="1"/>
      <c r="R62" s="1"/>
      <c r="S62" s="1"/>
      <c r="T62" s="1"/>
      <c r="U62" s="49"/>
      <c r="V62" s="49">
        <v>1156700</v>
      </c>
    </row>
    <row r="63" spans="1:22" ht="15" thickBot="1" x14ac:dyDescent="0.35">
      <c r="A63" s="633"/>
      <c r="B63" s="669"/>
      <c r="C63" s="500" t="s">
        <v>31</v>
      </c>
      <c r="D63" s="79"/>
      <c r="E63" s="41">
        <v>0.91891891891891897</v>
      </c>
      <c r="F63" s="41">
        <v>0.75521636655393776</v>
      </c>
      <c r="G63" s="84">
        <v>0.95455483720704204</v>
      </c>
      <c r="H63" s="41">
        <v>0.96016091264458447</v>
      </c>
      <c r="I63" s="41">
        <v>1.1577883565669058</v>
      </c>
      <c r="J63" s="41">
        <f>J62/J58</f>
        <v>0</v>
      </c>
      <c r="K63" s="41">
        <f>K62/K58</f>
        <v>0.79466285718785601</v>
      </c>
      <c r="L63" s="643"/>
      <c r="M63" s="1"/>
      <c r="N63" s="1"/>
      <c r="O63" s="1"/>
      <c r="P63" s="1"/>
      <c r="Q63" s="1"/>
      <c r="R63" s="1"/>
      <c r="S63" s="1"/>
      <c r="T63" s="1"/>
      <c r="U63" s="54"/>
      <c r="V63" s="54">
        <f>V62/V58</f>
        <v>0.84529838426059745</v>
      </c>
    </row>
    <row r="64" spans="1:22" ht="15" thickBot="1" x14ac:dyDescent="0.35">
      <c r="A64" s="633"/>
      <c r="B64" s="669"/>
      <c r="C64" s="81" t="s">
        <v>36</v>
      </c>
      <c r="D64" s="16"/>
      <c r="E64" s="41">
        <v>0.34</v>
      </c>
      <c r="F64" s="41">
        <v>0.34</v>
      </c>
      <c r="G64" s="84">
        <v>0.47727741860352102</v>
      </c>
      <c r="H64" s="41">
        <v>0.52808850195452139</v>
      </c>
      <c r="I64" s="41">
        <v>0.59683984917527599</v>
      </c>
      <c r="J64" s="82">
        <f>J62/('Tab H'!Q59)</f>
        <v>0</v>
      </c>
      <c r="K64" s="82"/>
      <c r="L64" s="643"/>
      <c r="M64" s="1"/>
      <c r="N64" s="1"/>
      <c r="O64" s="33"/>
      <c r="P64" s="1"/>
      <c r="Q64" s="1"/>
      <c r="R64" s="1"/>
      <c r="S64" s="1"/>
      <c r="T64" s="1"/>
      <c r="U64" s="53">
        <f>V62/U58</f>
        <v>0.49027306287114647</v>
      </c>
      <c r="V64" s="53"/>
    </row>
    <row r="65" spans="1:22" ht="15.75" customHeight="1" thickBot="1" x14ac:dyDescent="0.35">
      <c r="A65" s="633"/>
      <c r="B65" s="669"/>
      <c r="C65" s="17"/>
      <c r="D65" s="636" t="s">
        <v>17</v>
      </c>
      <c r="E65" s="637"/>
      <c r="F65" s="637"/>
      <c r="G65" s="637"/>
      <c r="H65" s="637"/>
      <c r="I65" s="637"/>
      <c r="J65" s="637"/>
      <c r="K65" s="638"/>
      <c r="L65" s="643"/>
      <c r="M65" s="1"/>
      <c r="N65" s="1"/>
      <c r="O65" s="1"/>
      <c r="P65" s="1"/>
      <c r="Q65" s="1"/>
      <c r="R65" s="1"/>
      <c r="S65" s="1"/>
      <c r="T65" s="1"/>
      <c r="U65" s="1"/>
      <c r="V65" s="1"/>
    </row>
    <row r="66" spans="1:22" ht="15" thickBot="1" x14ac:dyDescent="0.35">
      <c r="A66" s="634"/>
      <c r="B66" s="670"/>
      <c r="C66" s="19"/>
      <c r="D66" s="654" t="s">
        <v>37</v>
      </c>
      <c r="E66" s="655"/>
      <c r="F66" s="655"/>
      <c r="G66" s="655"/>
      <c r="H66" s="655"/>
      <c r="I66" s="655"/>
      <c r="J66" s="655"/>
      <c r="K66" s="656"/>
      <c r="L66" s="644"/>
      <c r="M66" s="1"/>
      <c r="N66" s="1"/>
      <c r="O66" s="1"/>
      <c r="P66" s="1"/>
      <c r="Q66" s="1"/>
      <c r="R66" s="1"/>
      <c r="S66" s="1"/>
      <c r="T66" s="1"/>
      <c r="U66" s="1"/>
      <c r="V66" s="1"/>
    </row>
    <row r="67" spans="1:22" ht="15" hidden="1" thickBot="1" x14ac:dyDescent="0.35">
      <c r="A67" s="617" t="s">
        <v>47</v>
      </c>
      <c r="B67" s="90" t="s">
        <v>48</v>
      </c>
      <c r="C67" s="90"/>
      <c r="D67" s="90" t="s">
        <v>49</v>
      </c>
      <c r="E67" s="90" t="s">
        <v>50</v>
      </c>
      <c r="F67" s="90" t="s">
        <v>51</v>
      </c>
      <c r="G67" s="91"/>
      <c r="H67" s="91"/>
      <c r="I67" s="91"/>
      <c r="J67" s="693"/>
      <c r="K67" s="693"/>
      <c r="L67" s="620"/>
      <c r="M67" s="1"/>
      <c r="N67" s="1"/>
      <c r="O67" s="1"/>
      <c r="P67" s="1"/>
      <c r="Q67" s="1"/>
      <c r="R67" s="1"/>
      <c r="S67" s="1"/>
      <c r="T67" s="1"/>
      <c r="U67" s="1"/>
      <c r="V67" s="1"/>
    </row>
    <row r="68" spans="1:22" ht="15" hidden="1" thickBot="1" x14ac:dyDescent="0.35">
      <c r="A68" s="618"/>
      <c r="B68" s="92">
        <f>B123+B140+B159+B183+B214</f>
        <v>185694765.20511806</v>
      </c>
      <c r="C68" s="93"/>
      <c r="D68" s="93">
        <v>0</v>
      </c>
      <c r="E68" s="93">
        <v>0</v>
      </c>
      <c r="F68" s="92">
        <v>185694765.20511806</v>
      </c>
      <c r="G68" s="94" t="s">
        <v>52</v>
      </c>
      <c r="H68" s="95"/>
      <c r="I68" s="95"/>
      <c r="J68" s="694"/>
      <c r="K68" s="694"/>
      <c r="L68" s="695"/>
      <c r="M68" s="1"/>
      <c r="N68" s="1"/>
      <c r="O68" s="1"/>
      <c r="P68" s="1"/>
      <c r="Q68" s="1"/>
      <c r="R68" s="1"/>
      <c r="S68" s="1"/>
      <c r="T68" s="1"/>
      <c r="U68" s="1"/>
      <c r="V68" s="1"/>
    </row>
    <row r="69" spans="1:22" ht="15" hidden="1" thickBot="1" x14ac:dyDescent="0.35">
      <c r="A69" s="617" t="s">
        <v>53</v>
      </c>
      <c r="B69" s="96" t="s">
        <v>54</v>
      </c>
      <c r="C69" s="97"/>
      <c r="D69" s="696"/>
      <c r="E69" s="697"/>
      <c r="F69" s="697"/>
      <c r="G69" s="697"/>
      <c r="H69" s="697"/>
      <c r="I69" s="697"/>
      <c r="J69" s="697"/>
      <c r="K69" s="697"/>
      <c r="L69" s="698"/>
      <c r="M69" s="1"/>
      <c r="N69" s="1"/>
      <c r="O69" s="1"/>
      <c r="P69" s="1"/>
      <c r="Q69" s="1"/>
      <c r="R69" s="1"/>
      <c r="S69" s="1"/>
      <c r="T69" s="1"/>
      <c r="U69" s="1"/>
      <c r="V69" s="1"/>
    </row>
    <row r="70" spans="1:22" ht="15" hidden="1" thickBot="1" x14ac:dyDescent="0.35">
      <c r="A70" s="618"/>
      <c r="B70" s="93">
        <f>B125+B142+B161+B185+B216</f>
        <v>2.6499999999999995</v>
      </c>
      <c r="C70" s="95"/>
      <c r="D70" s="699"/>
      <c r="E70" s="700"/>
      <c r="F70" s="700"/>
      <c r="G70" s="700"/>
      <c r="H70" s="700"/>
      <c r="I70" s="700"/>
      <c r="J70" s="700"/>
      <c r="K70" s="700"/>
      <c r="L70" s="701"/>
      <c r="M70" s="1"/>
      <c r="N70" s="1"/>
      <c r="O70" s="1"/>
    </row>
    <row r="71" spans="1:22" x14ac:dyDescent="0.3">
      <c r="A71" s="4"/>
      <c r="B71" s="4"/>
      <c r="C71" s="4"/>
      <c r="D71" s="4"/>
      <c r="E71" s="4"/>
      <c r="F71" s="4"/>
      <c r="G71" s="4"/>
      <c r="H71" s="4"/>
      <c r="I71" s="4"/>
      <c r="J71" s="4"/>
      <c r="K71" s="4"/>
      <c r="L71" s="4"/>
      <c r="M71" s="1"/>
      <c r="N71" s="1"/>
      <c r="O71" s="1"/>
    </row>
    <row r="72" spans="1:22" ht="15" thickBot="1" x14ac:dyDescent="0.35">
      <c r="A72" s="4"/>
      <c r="B72" s="4"/>
      <c r="C72" s="4"/>
      <c r="D72" s="4"/>
      <c r="E72" s="4"/>
      <c r="F72" s="4"/>
      <c r="G72" s="4"/>
      <c r="H72" s="4"/>
      <c r="I72" s="4"/>
      <c r="J72" s="4"/>
      <c r="K72" s="4"/>
      <c r="L72" s="4"/>
      <c r="M72" s="1"/>
      <c r="N72" s="1"/>
      <c r="O72" s="1"/>
    </row>
    <row r="73" spans="1:22" s="30" customFormat="1" ht="31.5" customHeight="1" thickBot="1" x14ac:dyDescent="0.35">
      <c r="A73" s="98" t="s">
        <v>55</v>
      </c>
      <c r="B73" s="45" t="s">
        <v>56</v>
      </c>
      <c r="C73" s="99"/>
      <c r="D73" s="247" t="s">
        <v>5</v>
      </c>
      <c r="E73" s="247" t="s">
        <v>6</v>
      </c>
      <c r="F73" s="247" t="s">
        <v>7</v>
      </c>
      <c r="G73" s="247" t="s">
        <v>8</v>
      </c>
      <c r="H73" s="247" t="s">
        <v>9</v>
      </c>
      <c r="I73" s="247" t="s">
        <v>10</v>
      </c>
      <c r="J73" s="247" t="s">
        <v>1</v>
      </c>
      <c r="K73" s="269" t="s">
        <v>263</v>
      </c>
      <c r="L73" s="100" t="s">
        <v>22</v>
      </c>
      <c r="U73" s="47" t="s">
        <v>11</v>
      </c>
      <c r="V73" s="47" t="s">
        <v>34</v>
      </c>
    </row>
    <row r="74" spans="1:22" ht="15" thickBot="1" x14ac:dyDescent="0.35">
      <c r="A74" s="632" t="s">
        <v>57</v>
      </c>
      <c r="B74" s="668" t="s">
        <v>58</v>
      </c>
      <c r="C74" s="673" t="s">
        <v>14</v>
      </c>
      <c r="D74" s="49">
        <v>123988.9483</v>
      </c>
      <c r="E74" s="50">
        <f>'Tab J'!E29*'Tab I'!BM60</f>
        <v>137947.70720000003</v>
      </c>
      <c r="F74" s="50">
        <f>'Tab J'!F29*'Tab I'!BN60</f>
        <v>201729.87956000006</v>
      </c>
      <c r="G74" s="50">
        <f>'Tab J'!G29*'Tab I'!BO60</f>
        <v>269407.089018</v>
      </c>
      <c r="H74" s="50">
        <f>'Tab J'!H29*'Tab I'!BP60</f>
        <v>293194.24949974398</v>
      </c>
      <c r="I74" s="50">
        <f>'Tab J'!I29*'Tab I'!BQ60</f>
        <v>283116</v>
      </c>
      <c r="J74" s="50">
        <f>'Tab J'!J29*'Tab I'!BR60</f>
        <v>325350.25</v>
      </c>
      <c r="K74" s="35">
        <f>SUM(E76:I76,J74)</f>
        <v>1593382.25</v>
      </c>
      <c r="L74" s="642" t="s">
        <v>59</v>
      </c>
      <c r="M74" s="1"/>
      <c r="N74" s="1"/>
      <c r="O74" s="1"/>
      <c r="U74" s="49">
        <f>U36</f>
        <v>94371.899057730101</v>
      </c>
      <c r="V74" s="49">
        <v>79272.395208493283</v>
      </c>
    </row>
    <row r="75" spans="1:22" ht="15" thickBot="1" x14ac:dyDescent="0.35">
      <c r="A75" s="633"/>
      <c r="B75" s="669"/>
      <c r="C75" s="674"/>
      <c r="D75" s="53">
        <v>0.40081809691831455</v>
      </c>
      <c r="E75" s="102">
        <v>0.47</v>
      </c>
      <c r="F75" s="102">
        <v>0.55000000000000004</v>
      </c>
      <c r="G75" s="102">
        <v>0.75</v>
      </c>
      <c r="H75" s="53">
        <v>0.8</v>
      </c>
      <c r="I75" s="53">
        <v>0.75000080221658327</v>
      </c>
      <c r="J75" s="63">
        <v>0.85</v>
      </c>
      <c r="K75" s="63"/>
      <c r="L75" s="643"/>
      <c r="M75" s="1"/>
      <c r="N75" s="1"/>
      <c r="O75" s="1"/>
      <c r="U75" s="53"/>
      <c r="V75" s="54">
        <f>V74/U74</f>
        <v>0.84</v>
      </c>
    </row>
    <row r="76" spans="1:22" ht="15" thickBot="1" x14ac:dyDescent="0.35">
      <c r="A76" s="633"/>
      <c r="B76" s="669"/>
      <c r="C76" s="78" t="s">
        <v>16</v>
      </c>
      <c r="D76" s="103"/>
      <c r="E76" s="101">
        <v>138698</v>
      </c>
      <c r="F76" s="101">
        <v>243490</v>
      </c>
      <c r="G76" s="101">
        <v>293099</v>
      </c>
      <c r="H76" s="49">
        <v>298168</v>
      </c>
      <c r="I76" s="49">
        <v>294577</v>
      </c>
      <c r="J76" s="37"/>
      <c r="K76" s="35">
        <f>SUM(E76:J76)</f>
        <v>1268032</v>
      </c>
      <c r="L76" s="643"/>
      <c r="M76" s="1"/>
      <c r="N76" s="1"/>
      <c r="O76" s="1"/>
      <c r="U76" s="49"/>
      <c r="V76" s="49">
        <v>68318</v>
      </c>
    </row>
    <row r="77" spans="1:22" ht="15" thickBot="1" x14ac:dyDescent="0.35">
      <c r="A77" s="633"/>
      <c r="B77" s="669"/>
      <c r="C77" s="57" t="s">
        <v>31</v>
      </c>
      <c r="D77" s="104"/>
      <c r="E77" s="503">
        <v>1.0054389653530973</v>
      </c>
      <c r="F77" s="503">
        <v>1.2070093689585089</v>
      </c>
      <c r="G77" s="503">
        <v>1.0879409338052612</v>
      </c>
      <c r="H77" s="66">
        <v>1.0169640110907441</v>
      </c>
      <c r="I77" s="66">
        <v>1.0404816400344734</v>
      </c>
      <c r="J77" s="67">
        <f>J76/J74</f>
        <v>0</v>
      </c>
      <c r="K77" s="60">
        <f>K76/K74</f>
        <v>0.79581155118302593</v>
      </c>
      <c r="L77" s="643"/>
      <c r="M77" s="1"/>
      <c r="N77" s="1"/>
      <c r="O77" s="1"/>
      <c r="U77" s="105"/>
      <c r="V77" s="105">
        <f>V76/V74</f>
        <v>0.86181324306295692</v>
      </c>
    </row>
    <row r="78" spans="1:22" ht="15" thickBot="1" x14ac:dyDescent="0.35">
      <c r="A78" s="633"/>
      <c r="B78" s="669"/>
      <c r="C78" s="81" t="s">
        <v>36</v>
      </c>
      <c r="D78" s="106"/>
      <c r="E78" s="107">
        <v>0.47</v>
      </c>
      <c r="F78" s="107">
        <v>0.66</v>
      </c>
      <c r="G78" s="107">
        <v>0.81595570035394593</v>
      </c>
      <c r="H78" s="108">
        <v>0.81357120887259515</v>
      </c>
      <c r="I78" s="108">
        <v>0.78036206471748137</v>
      </c>
      <c r="J78" s="67">
        <f>J76/'Tab I'!BR60</f>
        <v>0</v>
      </c>
      <c r="K78" s="67"/>
      <c r="L78" s="643"/>
      <c r="M78" s="1"/>
      <c r="N78" s="1"/>
      <c r="O78" s="33"/>
      <c r="U78" s="109">
        <f>V76/U74</f>
        <v>0.72392312417288374</v>
      </c>
      <c r="V78" s="109"/>
    </row>
    <row r="79" spans="1:22" ht="15.75" customHeight="1" thickBot="1" x14ac:dyDescent="0.35">
      <c r="A79" s="633"/>
      <c r="B79" s="669"/>
      <c r="C79" s="636" t="s">
        <v>17</v>
      </c>
      <c r="D79" s="637"/>
      <c r="E79" s="637"/>
      <c r="F79" s="637"/>
      <c r="G79" s="637"/>
      <c r="H79" s="637"/>
      <c r="I79" s="637"/>
      <c r="J79" s="637"/>
      <c r="K79" s="638"/>
      <c r="L79" s="643"/>
      <c r="M79" s="1"/>
      <c r="N79" s="1"/>
      <c r="O79" s="1"/>
    </row>
    <row r="80" spans="1:22" ht="15" thickBot="1" x14ac:dyDescent="0.35">
      <c r="A80" s="633"/>
      <c r="B80" s="670"/>
      <c r="C80" s="654" t="s">
        <v>37</v>
      </c>
      <c r="D80" s="655"/>
      <c r="E80" s="655"/>
      <c r="F80" s="655"/>
      <c r="G80" s="655"/>
      <c r="H80" s="655"/>
      <c r="I80" s="655"/>
      <c r="J80" s="655"/>
      <c r="K80" s="656"/>
      <c r="L80" s="643"/>
      <c r="M80" s="1"/>
      <c r="N80" s="1"/>
      <c r="O80" s="1"/>
    </row>
    <row r="81" spans="1:22" ht="23.25" customHeight="1" thickBot="1" x14ac:dyDescent="0.35">
      <c r="A81" s="633"/>
      <c r="B81" s="70" t="s">
        <v>60</v>
      </c>
      <c r="C81" s="70"/>
      <c r="D81" s="247" t="s">
        <v>5</v>
      </c>
      <c r="E81" s="247" t="s">
        <v>6</v>
      </c>
      <c r="F81" s="247" t="s">
        <v>7</v>
      </c>
      <c r="G81" s="247" t="s">
        <v>8</v>
      </c>
      <c r="H81" s="247" t="s">
        <v>9</v>
      </c>
      <c r="I81" s="247" t="s">
        <v>10</v>
      </c>
      <c r="J81" s="247" t="s">
        <v>1</v>
      </c>
      <c r="K81" s="269" t="s">
        <v>263</v>
      </c>
      <c r="L81" s="643"/>
      <c r="M81" s="1"/>
      <c r="N81" s="1"/>
      <c r="O81" s="1"/>
      <c r="U81" s="645" t="s">
        <v>28</v>
      </c>
      <c r="V81" s="646"/>
    </row>
    <row r="82" spans="1:22" ht="15" thickBot="1" x14ac:dyDescent="0.35">
      <c r="A82" s="633"/>
      <c r="B82" s="632" t="s">
        <v>61</v>
      </c>
      <c r="C82" s="71" t="s">
        <v>14</v>
      </c>
      <c r="D82" s="79"/>
      <c r="E82" s="79"/>
      <c r="F82" s="83">
        <f>('Tab I'!BA60*'Tab J'!F32)+('Tab I'!BN60*'Tab J'!F33)</f>
        <v>182847.0025613</v>
      </c>
      <c r="G82" s="83">
        <f>('Tab I'!BB60*'Tab J'!G32)+('Tab I'!BO60*'Tab J'!G33)</f>
        <v>230940.58951523699</v>
      </c>
      <c r="H82" s="83">
        <f>('Tab I'!BC60*'Tab J'!H32)+('Tab I'!BP60*'Tab J'!H33)</f>
        <v>288154.25735988223</v>
      </c>
      <c r="I82" s="31">
        <v>259186</v>
      </c>
      <c r="J82" s="83">
        <f>('Tab I'!BE60*'Tab J'!J32)+('Tab I'!BR60*'Tab J'!J33)</f>
        <v>318033</v>
      </c>
      <c r="K82" s="35">
        <f>SUM(F83:I83,J82)</f>
        <v>1395068</v>
      </c>
      <c r="L82" s="643"/>
      <c r="M82" s="1"/>
      <c r="N82" s="1"/>
      <c r="O82" s="33"/>
      <c r="U82" s="36">
        <v>80675.333308293571</v>
      </c>
      <c r="V82" s="35"/>
    </row>
    <row r="83" spans="1:22" ht="15" thickBot="1" x14ac:dyDescent="0.35">
      <c r="A83" s="633"/>
      <c r="B83" s="633"/>
      <c r="C83" s="10" t="s">
        <v>16</v>
      </c>
      <c r="D83" s="16"/>
      <c r="E83" s="16"/>
      <c r="F83" s="85">
        <v>171706</v>
      </c>
      <c r="G83" s="85">
        <v>268471</v>
      </c>
      <c r="H83" s="36">
        <v>324466</v>
      </c>
      <c r="I83" s="36">
        <v>312392</v>
      </c>
      <c r="J83" s="37"/>
      <c r="K83" s="35">
        <f>SUM(E83:J83)</f>
        <v>1077035</v>
      </c>
      <c r="L83" s="643"/>
      <c r="M83" s="1"/>
      <c r="N83" s="1"/>
      <c r="O83" s="33"/>
      <c r="U83" s="36">
        <v>67757</v>
      </c>
      <c r="V83" s="39"/>
    </row>
    <row r="84" spans="1:22" ht="15" thickBot="1" x14ac:dyDescent="0.35">
      <c r="A84" s="633"/>
      <c r="B84" s="633"/>
      <c r="C84" s="111" t="s">
        <v>31</v>
      </c>
      <c r="D84" s="16"/>
      <c r="E84" s="133"/>
      <c r="F84" s="84">
        <v>0.93906926334455543</v>
      </c>
      <c r="G84" s="84">
        <v>1.1625111054039587</v>
      </c>
      <c r="H84" s="41">
        <v>1.1260149441233738</v>
      </c>
      <c r="I84" s="41">
        <v>1.2052811494448004</v>
      </c>
      <c r="J84" s="67">
        <f>J83/J82</f>
        <v>0</v>
      </c>
      <c r="K84" s="67">
        <f>K83/K82</f>
        <v>0.77203046733205838</v>
      </c>
      <c r="L84" s="643"/>
      <c r="M84" s="1"/>
      <c r="N84" s="1"/>
      <c r="O84" s="33"/>
      <c r="U84" s="671">
        <f>U83/U82</f>
        <v>0.83987257593436504</v>
      </c>
      <c r="V84" s="672"/>
    </row>
    <row r="85" spans="1:22" ht="15" customHeight="1" thickBot="1" x14ac:dyDescent="0.35">
      <c r="A85" s="633"/>
      <c r="B85" s="633"/>
      <c r="C85" s="651" t="s">
        <v>17</v>
      </c>
      <c r="D85" s="652"/>
      <c r="E85" s="652"/>
      <c r="F85" s="652"/>
      <c r="G85" s="652"/>
      <c r="H85" s="652"/>
      <c r="I85" s="652"/>
      <c r="J85" s="652"/>
      <c r="K85" s="653"/>
      <c r="L85" s="643"/>
      <c r="M85" s="1"/>
      <c r="N85" s="1"/>
      <c r="O85" s="1"/>
    </row>
    <row r="86" spans="1:22" ht="15.75" customHeight="1" thickBot="1" x14ac:dyDescent="0.35">
      <c r="A86" s="633"/>
      <c r="B86" s="634"/>
      <c r="C86" s="654" t="s">
        <v>62</v>
      </c>
      <c r="D86" s="655"/>
      <c r="E86" s="655"/>
      <c r="F86" s="655"/>
      <c r="G86" s="655"/>
      <c r="H86" s="655"/>
      <c r="I86" s="655"/>
      <c r="J86" s="655"/>
      <c r="K86" s="656"/>
      <c r="L86" s="643"/>
      <c r="M86" s="1"/>
      <c r="N86" s="1"/>
      <c r="O86" s="1"/>
      <c r="P86" s="1"/>
      <c r="Q86" s="1"/>
      <c r="R86" s="1"/>
      <c r="S86" s="1"/>
      <c r="T86" s="1"/>
      <c r="U86" s="1"/>
    </row>
    <row r="87" spans="1:22" ht="29.25" customHeight="1" thickBot="1" x14ac:dyDescent="0.35">
      <c r="A87" s="633"/>
      <c r="B87" s="70" t="s">
        <v>63</v>
      </c>
      <c r="C87" s="70"/>
      <c r="D87" s="250" t="s">
        <v>5</v>
      </c>
      <c r="E87" s="250" t="s">
        <v>6</v>
      </c>
      <c r="F87" s="250" t="s">
        <v>7</v>
      </c>
      <c r="G87" s="250" t="s">
        <v>8</v>
      </c>
      <c r="H87" s="245" t="s">
        <v>9</v>
      </c>
      <c r="I87" s="247" t="s">
        <v>10</v>
      </c>
      <c r="J87" s="247" t="s">
        <v>1</v>
      </c>
      <c r="K87" s="269" t="s">
        <v>263</v>
      </c>
      <c r="L87" s="643"/>
      <c r="M87" s="1"/>
      <c r="N87" s="1"/>
      <c r="O87" s="1"/>
      <c r="P87" s="1"/>
      <c r="Q87" s="1"/>
      <c r="R87" s="1"/>
      <c r="S87" s="1"/>
      <c r="T87" s="1"/>
      <c r="U87" s="47" t="s">
        <v>11</v>
      </c>
      <c r="V87" s="47" t="s">
        <v>34</v>
      </c>
    </row>
    <row r="88" spans="1:22" ht="15" thickBot="1" x14ac:dyDescent="0.35">
      <c r="A88" s="633"/>
      <c r="B88" s="632" t="s">
        <v>64</v>
      </c>
      <c r="C88" s="673" t="s">
        <v>14</v>
      </c>
      <c r="D88" s="79"/>
      <c r="E88" s="112">
        <f>'Tab J'!E36*('Tab I'!S60+'Tab I'!BZ60)</f>
        <v>58092.432000000001</v>
      </c>
      <c r="F88" s="112">
        <f>'Tab J'!F36*('Tab I'!T60+'Tab I'!CA60)</f>
        <v>167989.15224</v>
      </c>
      <c r="G88" s="112">
        <f>'Tab J'!G36*('Tab I'!U60+'Tab I'!CB60)</f>
        <v>205419.2</v>
      </c>
      <c r="H88" s="112">
        <f>'Tab J'!H36*('Tab I'!V60+'Tab I'!CC60)</f>
        <v>224806.3</v>
      </c>
      <c r="I88" s="112">
        <f>'Tab J'!I36*('Tab I'!W60+'Tab I'!CD60)</f>
        <v>148666.95000000001</v>
      </c>
      <c r="J88" s="112">
        <f>'Tab J'!J36*('Tab I'!X60+'Tab I'!CE60)</f>
        <v>204580.19999999998</v>
      </c>
      <c r="K88" s="35">
        <f>SUM(E90:I90,J88)</f>
        <v>958775.2</v>
      </c>
      <c r="L88" s="643"/>
      <c r="M88" s="1"/>
      <c r="N88" s="1"/>
      <c r="O88" s="1"/>
      <c r="P88" s="1"/>
      <c r="Q88" s="1"/>
      <c r="R88" s="1"/>
      <c r="S88" s="1"/>
      <c r="T88" s="1"/>
      <c r="U88" s="83">
        <v>82151.513262043925</v>
      </c>
      <c r="V88" s="83">
        <v>59930.868175191266</v>
      </c>
    </row>
    <row r="89" spans="1:22" ht="15" thickBot="1" x14ac:dyDescent="0.35">
      <c r="A89" s="633"/>
      <c r="B89" s="633"/>
      <c r="C89" s="674"/>
      <c r="D89" s="16"/>
      <c r="E89" s="84">
        <v>0.3</v>
      </c>
      <c r="F89" s="84">
        <v>0.7</v>
      </c>
      <c r="G89" s="84">
        <v>0.8</v>
      </c>
      <c r="H89" s="84">
        <v>0.85</v>
      </c>
      <c r="I89" s="248">
        <v>0.45241710741769109</v>
      </c>
      <c r="J89" s="41">
        <v>0.6</v>
      </c>
      <c r="K89" s="58"/>
      <c r="L89" s="643"/>
      <c r="M89" s="1"/>
      <c r="N89" s="1"/>
      <c r="O89" s="1"/>
      <c r="P89" s="1"/>
      <c r="Q89" s="1"/>
      <c r="R89" s="1"/>
      <c r="S89" s="1"/>
      <c r="T89" s="1"/>
      <c r="U89" s="53"/>
      <c r="V89" s="53">
        <f>V88/U88</f>
        <v>0.72951630220159125</v>
      </c>
    </row>
    <row r="90" spans="1:22" ht="15" thickBot="1" x14ac:dyDescent="0.35">
      <c r="A90" s="633"/>
      <c r="B90" s="633"/>
      <c r="C90" s="78" t="s">
        <v>16</v>
      </c>
      <c r="D90" s="79"/>
      <c r="E90" s="83">
        <v>33362</v>
      </c>
      <c r="F90" s="83">
        <v>149615</v>
      </c>
      <c r="G90" s="83">
        <v>215473</v>
      </c>
      <c r="H90" s="83">
        <v>191895</v>
      </c>
      <c r="I90" s="113">
        <v>163850</v>
      </c>
      <c r="J90" s="249"/>
      <c r="K90" s="35">
        <f>SUM(E90:J90)</f>
        <v>754195</v>
      </c>
      <c r="L90" s="643"/>
      <c r="M90" s="1"/>
      <c r="N90" s="1"/>
      <c r="O90" s="1"/>
      <c r="P90" s="1"/>
      <c r="Q90" s="1"/>
      <c r="R90" s="1"/>
      <c r="S90" s="1"/>
      <c r="T90" s="1"/>
      <c r="U90" s="83"/>
      <c r="V90" s="83">
        <v>33249</v>
      </c>
    </row>
    <row r="91" spans="1:22" ht="15" thickBot="1" x14ac:dyDescent="0.35">
      <c r="A91" s="633"/>
      <c r="B91" s="633"/>
      <c r="C91" s="57" t="s">
        <v>31</v>
      </c>
      <c r="D91" s="79"/>
      <c r="E91" s="84">
        <v>0.57429738863425694</v>
      </c>
      <c r="F91" s="84">
        <v>0.89062379084344812</v>
      </c>
      <c r="G91" s="84">
        <v>1.0489370666838229</v>
      </c>
      <c r="H91" s="84">
        <v>0.85359933819449374</v>
      </c>
      <c r="I91" s="63">
        <v>1.1021349871524087</v>
      </c>
      <c r="J91" s="114">
        <f>J90/J88</f>
        <v>0</v>
      </c>
      <c r="K91" s="114">
        <f>K90/K88</f>
        <v>0.78662339201097409</v>
      </c>
      <c r="L91" s="643"/>
      <c r="M91" s="1"/>
      <c r="N91" s="1"/>
      <c r="O91" s="1"/>
      <c r="P91" s="1"/>
      <c r="Q91" s="1"/>
      <c r="R91" s="1"/>
      <c r="S91" s="1"/>
      <c r="T91" s="1"/>
      <c r="U91" s="84"/>
      <c r="V91" s="84">
        <f>V90/V88</f>
        <v>0.55478922652690055</v>
      </c>
    </row>
    <row r="92" spans="1:22" ht="15" thickBot="1" x14ac:dyDescent="0.35">
      <c r="A92" s="633"/>
      <c r="B92" s="633"/>
      <c r="C92" s="81" t="s">
        <v>36</v>
      </c>
      <c r="D92" s="16"/>
      <c r="E92" s="84">
        <v>0.17</v>
      </c>
      <c r="F92" s="84">
        <v>0.62</v>
      </c>
      <c r="G92" s="84">
        <v>0.83914965334705827</v>
      </c>
      <c r="H92" s="84">
        <v>0.72555943746531959</v>
      </c>
      <c r="I92" s="84">
        <v>0.49862136890089048</v>
      </c>
      <c r="J92" s="84">
        <f>J90/(SUM('Tab I'!BR15:BR31)+SUM('Tab I'!K15:K31))</f>
        <v>0</v>
      </c>
      <c r="K92" s="84"/>
      <c r="L92" s="643"/>
      <c r="M92" s="1"/>
      <c r="N92" s="1"/>
      <c r="O92" s="33"/>
      <c r="P92" s="1"/>
      <c r="Q92" s="1"/>
      <c r="R92" s="1"/>
      <c r="S92" s="1"/>
      <c r="T92" s="1"/>
      <c r="U92" s="53">
        <f>V90/U88</f>
        <v>0.40472778503718543</v>
      </c>
      <c r="V92" s="53"/>
    </row>
    <row r="93" spans="1:22" ht="15" customHeight="1" x14ac:dyDescent="0.3">
      <c r="A93" s="633"/>
      <c r="B93" s="633"/>
      <c r="C93" s="651" t="s">
        <v>17</v>
      </c>
      <c r="D93" s="652"/>
      <c r="E93" s="652"/>
      <c r="F93" s="652"/>
      <c r="G93" s="652"/>
      <c r="H93" s="652"/>
      <c r="I93" s="652"/>
      <c r="J93" s="652"/>
      <c r="K93" s="653"/>
      <c r="L93" s="643"/>
      <c r="M93" s="1"/>
      <c r="N93" s="1"/>
      <c r="O93" s="1"/>
      <c r="P93" s="1"/>
      <c r="Q93" s="1"/>
      <c r="R93" s="1"/>
      <c r="S93" s="1"/>
      <c r="T93" s="1"/>
      <c r="U93" s="1"/>
    </row>
    <row r="94" spans="1:22" ht="15.75" customHeight="1" thickBot="1" x14ac:dyDescent="0.35">
      <c r="A94" s="633"/>
      <c r="B94" s="634"/>
      <c r="C94" s="689" t="s">
        <v>62</v>
      </c>
      <c r="D94" s="690"/>
      <c r="E94" s="690"/>
      <c r="F94" s="690"/>
      <c r="G94" s="690"/>
      <c r="H94" s="690"/>
      <c r="I94" s="690"/>
      <c r="J94" s="690"/>
      <c r="K94" s="691"/>
      <c r="L94" s="643"/>
      <c r="M94" s="1"/>
      <c r="N94" s="1"/>
      <c r="O94" s="1"/>
      <c r="P94" s="1"/>
      <c r="Q94" s="1"/>
      <c r="R94" s="1"/>
      <c r="S94" s="1"/>
      <c r="T94" s="1"/>
      <c r="U94" s="1"/>
    </row>
    <row r="95" spans="1:22" ht="28.5" customHeight="1" thickBot="1" x14ac:dyDescent="0.35">
      <c r="A95" s="633"/>
      <c r="B95" s="70" t="s">
        <v>65</v>
      </c>
      <c r="C95" s="70"/>
      <c r="D95" s="247" t="s">
        <v>5</v>
      </c>
      <c r="E95" s="247" t="s">
        <v>6</v>
      </c>
      <c r="F95" s="247" t="s">
        <v>7</v>
      </c>
      <c r="G95" s="247" t="s">
        <v>8</v>
      </c>
      <c r="H95" s="247" t="s">
        <v>9</v>
      </c>
      <c r="I95" s="247" t="s">
        <v>10</v>
      </c>
      <c r="J95" s="247" t="s">
        <v>1</v>
      </c>
      <c r="K95" s="269" t="s">
        <v>263</v>
      </c>
      <c r="L95" s="643"/>
      <c r="M95" s="1"/>
      <c r="N95" s="1"/>
      <c r="O95" s="1"/>
      <c r="P95" s="1"/>
      <c r="Q95" s="1"/>
      <c r="R95" s="1"/>
      <c r="S95" s="1"/>
      <c r="T95" s="1"/>
      <c r="U95" s="645" t="s">
        <v>28</v>
      </c>
      <c r="V95" s="646"/>
    </row>
    <row r="96" spans="1:22" ht="15" thickBot="1" x14ac:dyDescent="0.35">
      <c r="A96" s="633"/>
      <c r="B96" s="668" t="s">
        <v>66</v>
      </c>
      <c r="C96" s="71" t="s">
        <v>14</v>
      </c>
      <c r="D96" s="11">
        <v>0</v>
      </c>
      <c r="E96" s="101">
        <v>107863</v>
      </c>
      <c r="F96" s="101">
        <v>163676</v>
      </c>
      <c r="G96" s="113">
        <f>'Tab J'!G39*'Tab I'!CJ60</f>
        <v>226301.95477512004</v>
      </c>
      <c r="H96" s="113">
        <f>'Tab J'!H39*'Tab I'!CK60</f>
        <v>288613.08935131051</v>
      </c>
      <c r="I96" s="504">
        <v>359698</v>
      </c>
      <c r="J96" s="113">
        <f>'Tab J'!J39*'Tab I'!CM60</f>
        <v>341617.55000000005</v>
      </c>
      <c r="K96" s="35">
        <f>SUM(E97:I97,J96)</f>
        <v>1661641.2520000001</v>
      </c>
      <c r="L96" s="643"/>
      <c r="M96" s="1"/>
      <c r="N96" s="1"/>
      <c r="O96" s="33"/>
      <c r="P96" s="1"/>
      <c r="Q96" s="1"/>
      <c r="R96" s="1"/>
      <c r="S96" s="1"/>
      <c r="T96" s="1"/>
      <c r="U96" s="49">
        <v>89181.444609554936</v>
      </c>
      <c r="V96" s="35"/>
    </row>
    <row r="97" spans="1:22" ht="15" thickBot="1" x14ac:dyDescent="0.35">
      <c r="A97" s="633"/>
      <c r="B97" s="669"/>
      <c r="C97" s="78" t="s">
        <v>16</v>
      </c>
      <c r="D97" s="115"/>
      <c r="E97" s="116">
        <v>88779</v>
      </c>
      <c r="F97" s="116">
        <v>169668</v>
      </c>
      <c r="G97" s="116">
        <v>324192.70199999999</v>
      </c>
      <c r="H97" s="113">
        <v>342410</v>
      </c>
      <c r="I97" s="113">
        <v>394974</v>
      </c>
      <c r="J97" s="249"/>
      <c r="K97" s="35">
        <f>SUM(E97:J97)</f>
        <v>1320023.702</v>
      </c>
      <c r="L97" s="643"/>
      <c r="M97" s="1"/>
      <c r="N97" s="1"/>
      <c r="O97" s="33"/>
      <c r="P97" s="1"/>
      <c r="Q97" s="1"/>
      <c r="R97" s="1"/>
      <c r="S97" s="1"/>
      <c r="T97" s="1"/>
      <c r="U97" s="113">
        <v>87411</v>
      </c>
      <c r="V97" s="39"/>
    </row>
    <row r="98" spans="1:22" ht="15" thickBot="1" x14ac:dyDescent="0.35">
      <c r="A98" s="633"/>
      <c r="B98" s="692"/>
      <c r="C98" s="57" t="s">
        <v>31</v>
      </c>
      <c r="D98" s="16"/>
      <c r="E98" s="84">
        <v>0.82307185967384555</v>
      </c>
      <c r="F98" s="84">
        <v>1.0366089102861751</v>
      </c>
      <c r="G98" s="84">
        <v>1.4325669538389791</v>
      </c>
      <c r="H98" s="84">
        <v>1.1863980277873192</v>
      </c>
      <c r="I98" s="84">
        <v>1.098072380799872</v>
      </c>
      <c r="J98" s="84">
        <f>J97/J96</f>
        <v>0</v>
      </c>
      <c r="K98" s="84">
        <f>K97/K96</f>
        <v>0.79440956368360549</v>
      </c>
      <c r="L98" s="643"/>
      <c r="M98" s="1"/>
      <c r="N98" s="1"/>
      <c r="O98" s="33"/>
      <c r="P98" s="1"/>
      <c r="Q98" s="1"/>
      <c r="R98" s="1"/>
      <c r="S98" s="1"/>
      <c r="T98" s="1"/>
      <c r="U98" s="671">
        <f>U97/U96</f>
        <v>0.98014783661213256</v>
      </c>
      <c r="V98" s="672"/>
    </row>
    <row r="99" spans="1:22" ht="15" thickBot="1" x14ac:dyDescent="0.35">
      <c r="A99" s="633"/>
      <c r="B99" s="692"/>
      <c r="C99" s="81" t="s">
        <v>36</v>
      </c>
      <c r="D99" s="16"/>
      <c r="E99" s="84">
        <v>4.7487644755637694E-2</v>
      </c>
      <c r="F99" s="84">
        <v>8.8111601989313421E-2</v>
      </c>
      <c r="G99" s="84">
        <v>0.17190803446067746</v>
      </c>
      <c r="H99" s="84">
        <v>0.17795970416809781</v>
      </c>
      <c r="I99" s="84">
        <v>0.19929964218246923</v>
      </c>
      <c r="J99" s="114">
        <f>J97/'Tab I'!CM60</f>
        <v>0</v>
      </c>
      <c r="K99" s="114"/>
      <c r="L99" s="643"/>
      <c r="M99" s="1"/>
      <c r="N99" s="1"/>
      <c r="O99" s="33"/>
      <c r="P99" s="1"/>
      <c r="Q99" s="1"/>
      <c r="R99" s="1"/>
      <c r="S99" s="1"/>
      <c r="T99" s="1"/>
      <c r="U99" s="671">
        <v>0.17642661059018383</v>
      </c>
      <c r="V99" s="672"/>
    </row>
    <row r="100" spans="1:22" ht="15" thickBot="1" x14ac:dyDescent="0.35">
      <c r="A100" s="633"/>
      <c r="B100" s="669"/>
      <c r="C100" s="675" t="s">
        <v>17</v>
      </c>
      <c r="D100" s="676"/>
      <c r="E100" s="676"/>
      <c r="F100" s="676"/>
      <c r="G100" s="676"/>
      <c r="H100" s="676"/>
      <c r="I100" s="652"/>
      <c r="J100" s="27"/>
      <c r="K100" s="27"/>
      <c r="L100" s="687"/>
      <c r="M100" s="1"/>
      <c r="N100" s="1"/>
      <c r="O100" s="1"/>
      <c r="P100" s="1"/>
      <c r="Q100" s="1"/>
      <c r="R100" s="1"/>
      <c r="S100" s="1"/>
      <c r="T100" s="1"/>
      <c r="U100" s="1"/>
    </row>
    <row r="101" spans="1:22" ht="15" thickBot="1" x14ac:dyDescent="0.35">
      <c r="A101" s="633"/>
      <c r="B101" s="670"/>
      <c r="C101" s="639" t="s">
        <v>37</v>
      </c>
      <c r="D101" s="640"/>
      <c r="E101" s="640"/>
      <c r="F101" s="640"/>
      <c r="G101" s="640"/>
      <c r="H101" s="640"/>
      <c r="I101" s="640"/>
      <c r="J101" s="640"/>
      <c r="K101" s="641"/>
      <c r="L101" s="643"/>
      <c r="M101" s="1"/>
      <c r="N101" s="1"/>
      <c r="O101" s="1"/>
      <c r="P101" s="1"/>
      <c r="Q101" s="1"/>
      <c r="R101" s="1"/>
      <c r="S101" s="1"/>
      <c r="T101" s="1"/>
      <c r="U101" s="1"/>
    </row>
    <row r="102" spans="1:22" ht="31.5" customHeight="1" thickBot="1" x14ac:dyDescent="0.35">
      <c r="A102" s="633"/>
      <c r="B102" s="70" t="s">
        <v>67</v>
      </c>
      <c r="C102" s="70"/>
      <c r="D102" s="247" t="s">
        <v>5</v>
      </c>
      <c r="E102" s="247" t="s">
        <v>6</v>
      </c>
      <c r="F102" s="247" t="s">
        <v>7</v>
      </c>
      <c r="G102" s="247" t="s">
        <v>8</v>
      </c>
      <c r="H102" s="247" t="s">
        <v>9</v>
      </c>
      <c r="I102" s="247" t="s">
        <v>10</v>
      </c>
      <c r="J102" s="247" t="s">
        <v>1</v>
      </c>
      <c r="K102" s="269" t="s">
        <v>263</v>
      </c>
      <c r="L102" s="643"/>
      <c r="M102" s="1"/>
      <c r="N102" s="1"/>
      <c r="O102" s="1"/>
      <c r="U102" s="645" t="s">
        <v>28</v>
      </c>
      <c r="V102" s="646"/>
    </row>
    <row r="103" spans="1:22" ht="15" thickBot="1" x14ac:dyDescent="0.35">
      <c r="A103" s="633"/>
      <c r="B103" s="668" t="s">
        <v>68</v>
      </c>
      <c r="C103" s="71" t="s">
        <v>14</v>
      </c>
      <c r="D103" s="117">
        <v>8</v>
      </c>
      <c r="E103" s="118">
        <v>112</v>
      </c>
      <c r="F103" s="490">
        <v>168</v>
      </c>
      <c r="G103" s="119">
        <v>146</v>
      </c>
      <c r="H103" s="119">
        <v>177</v>
      </c>
      <c r="I103" s="328">
        <f>SUM(I104:I105)</f>
        <v>166.8</v>
      </c>
      <c r="J103" s="173">
        <f>SUM(J104:J105)</f>
        <v>156.80000000000001</v>
      </c>
      <c r="K103" s="120" t="s">
        <v>15</v>
      </c>
      <c r="L103" s="687"/>
      <c r="M103" s="1"/>
      <c r="N103" s="1"/>
      <c r="O103" s="33"/>
      <c r="U103" s="681" t="s">
        <v>15</v>
      </c>
      <c r="V103" s="682"/>
    </row>
    <row r="104" spans="1:22" ht="12.75" customHeight="1" thickBot="1" x14ac:dyDescent="0.35">
      <c r="A104" s="633"/>
      <c r="B104" s="669"/>
      <c r="C104" s="673" t="s">
        <v>44</v>
      </c>
      <c r="D104" s="122" t="s">
        <v>69</v>
      </c>
      <c r="E104" s="103"/>
      <c r="F104" s="103"/>
      <c r="G104" s="505">
        <v>109</v>
      </c>
      <c r="H104" s="505">
        <v>133</v>
      </c>
      <c r="I104" s="329">
        <f>4*52*0.6</f>
        <v>124.8</v>
      </c>
      <c r="J104" s="285">
        <f>'Tab G'!AC59*'Tab J'!J44</f>
        <v>117.6</v>
      </c>
      <c r="K104" s="120" t="s">
        <v>15</v>
      </c>
      <c r="L104" s="687"/>
      <c r="M104" s="1"/>
      <c r="N104" s="1"/>
      <c r="O104" s="1"/>
      <c r="U104" s="683" t="s">
        <v>15</v>
      </c>
      <c r="V104" s="684"/>
    </row>
    <row r="105" spans="1:22" ht="15" thickBot="1" x14ac:dyDescent="0.35">
      <c r="A105" s="633"/>
      <c r="B105" s="669"/>
      <c r="C105" s="674"/>
      <c r="D105" s="123" t="s">
        <v>70</v>
      </c>
      <c r="E105" s="106"/>
      <c r="F105" s="106"/>
      <c r="G105" s="506">
        <v>36</v>
      </c>
      <c r="H105" s="506">
        <v>44</v>
      </c>
      <c r="I105" s="330">
        <f>ROUND(52*0.8,0)</f>
        <v>42</v>
      </c>
      <c r="J105" s="271">
        <f>'Tab G'!AB59*'Tab J'!J42</f>
        <v>39.200000000000003</v>
      </c>
      <c r="K105" s="120" t="s">
        <v>15</v>
      </c>
      <c r="L105" s="687"/>
      <c r="M105" s="1"/>
      <c r="N105" s="1"/>
      <c r="O105" s="1"/>
      <c r="U105" s="685" t="s">
        <v>15</v>
      </c>
      <c r="V105" s="686"/>
    </row>
    <row r="106" spans="1:22" s="30" customFormat="1" ht="13.8" thickBot="1" x14ac:dyDescent="0.35">
      <c r="A106" s="633"/>
      <c r="B106" s="669"/>
      <c r="C106" s="124" t="s">
        <v>16</v>
      </c>
      <c r="D106" s="125"/>
      <c r="E106" s="133" t="s">
        <v>30</v>
      </c>
      <c r="F106" s="133" t="s">
        <v>30</v>
      </c>
      <c r="G106" s="331">
        <v>1</v>
      </c>
      <c r="H106" s="133">
        <v>143</v>
      </c>
      <c r="I106" s="133">
        <v>33</v>
      </c>
      <c r="J106" s="286"/>
      <c r="K106" s="120"/>
      <c r="L106" s="687"/>
      <c r="U106" s="677" t="s">
        <v>15</v>
      </c>
      <c r="V106" s="678"/>
    </row>
    <row r="107" spans="1:22" s="30" customFormat="1" ht="15.75" customHeight="1" thickBot="1" x14ac:dyDescent="0.35">
      <c r="A107" s="633"/>
      <c r="B107" s="669"/>
      <c r="C107" s="128" t="s">
        <v>31</v>
      </c>
      <c r="D107" s="129"/>
      <c r="E107" s="126"/>
      <c r="F107" s="126"/>
      <c r="G107" s="127"/>
      <c r="H107" s="130">
        <v>0.62</v>
      </c>
      <c r="I107" s="131">
        <f>I106/I103</f>
        <v>0.19784172661870503</v>
      </c>
      <c r="J107" s="287">
        <f>J106/J103</f>
        <v>0</v>
      </c>
      <c r="K107" s="132"/>
      <c r="L107" s="687"/>
      <c r="U107" s="679">
        <v>0</v>
      </c>
      <c r="V107" s="678"/>
    </row>
    <row r="108" spans="1:22" ht="15.75" customHeight="1" thickBot="1" x14ac:dyDescent="0.35">
      <c r="A108" s="633"/>
      <c r="B108" s="669"/>
      <c r="C108" s="636" t="s">
        <v>17</v>
      </c>
      <c r="D108" s="637"/>
      <c r="E108" s="637"/>
      <c r="F108" s="637"/>
      <c r="G108" s="637"/>
      <c r="H108" s="637"/>
      <c r="I108" s="637"/>
      <c r="J108" s="637"/>
      <c r="K108" s="638"/>
      <c r="L108" s="643"/>
      <c r="M108" s="1"/>
      <c r="N108" s="1"/>
      <c r="O108" s="1"/>
      <c r="U108" s="680"/>
      <c r="V108" s="680"/>
    </row>
    <row r="109" spans="1:22" ht="27" customHeight="1" thickBot="1" x14ac:dyDescent="0.35">
      <c r="A109" s="633"/>
      <c r="B109" s="670"/>
      <c r="C109" s="639" t="s">
        <v>71</v>
      </c>
      <c r="D109" s="640"/>
      <c r="E109" s="640"/>
      <c r="F109" s="640"/>
      <c r="G109" s="640"/>
      <c r="H109" s="640"/>
      <c r="I109" s="640"/>
      <c r="J109" s="640"/>
      <c r="K109" s="641"/>
      <c r="L109" s="643"/>
      <c r="M109" s="1"/>
      <c r="N109" s="1"/>
      <c r="O109" s="1"/>
    </row>
    <row r="110" spans="1:22" ht="30.75" customHeight="1" thickBot="1" x14ac:dyDescent="0.35">
      <c r="A110" s="633"/>
      <c r="B110" s="70" t="s">
        <v>72</v>
      </c>
      <c r="C110" s="70"/>
      <c r="D110" s="247" t="s">
        <v>5</v>
      </c>
      <c r="E110" s="247" t="s">
        <v>6</v>
      </c>
      <c r="F110" s="247" t="s">
        <v>7</v>
      </c>
      <c r="G110" s="247" t="s">
        <v>8</v>
      </c>
      <c r="H110" s="247" t="s">
        <v>9</v>
      </c>
      <c r="I110" s="247" t="s">
        <v>10</v>
      </c>
      <c r="J110" s="247" t="s">
        <v>1</v>
      </c>
      <c r="K110" s="269" t="s">
        <v>263</v>
      </c>
      <c r="L110" s="643"/>
      <c r="M110" s="1"/>
      <c r="N110" s="1"/>
      <c r="O110" s="1"/>
      <c r="U110" s="645" t="s">
        <v>28</v>
      </c>
      <c r="V110" s="646"/>
    </row>
    <row r="111" spans="1:22" ht="15" thickBot="1" x14ac:dyDescent="0.35">
      <c r="A111" s="633"/>
      <c r="B111" s="668" t="s">
        <v>73</v>
      </c>
      <c r="C111" s="10" t="s">
        <v>14</v>
      </c>
      <c r="D111" s="133">
        <v>0</v>
      </c>
      <c r="E111" s="16"/>
      <c r="F111" s="83">
        <v>40500</v>
      </c>
      <c r="G111" s="83">
        <v>121500</v>
      </c>
      <c r="H111" s="83">
        <v>270000</v>
      </c>
      <c r="I111" s="50">
        <v>219999.7935</v>
      </c>
      <c r="J111" s="72">
        <v>270000</v>
      </c>
      <c r="K111" s="110">
        <f>J111</f>
        <v>270000</v>
      </c>
      <c r="L111" s="643"/>
      <c r="M111" s="1"/>
      <c r="N111" s="1"/>
      <c r="O111" s="1"/>
      <c r="U111" s="34">
        <f>H111</f>
        <v>270000</v>
      </c>
      <c r="V111" s="35"/>
    </row>
    <row r="112" spans="1:22" ht="24.6" thickBot="1" x14ac:dyDescent="0.35">
      <c r="A112" s="633"/>
      <c r="B112" s="669"/>
      <c r="C112" s="124" t="s">
        <v>74</v>
      </c>
      <c r="D112" s="129"/>
      <c r="E112" s="129"/>
      <c r="F112" s="134">
        <v>0</v>
      </c>
      <c r="G112" s="135">
        <v>57765</v>
      </c>
      <c r="H112" s="135">
        <v>178054</v>
      </c>
      <c r="I112" s="50">
        <v>242504</v>
      </c>
      <c r="J112" s="37"/>
      <c r="K112" s="110">
        <f>J112</f>
        <v>0</v>
      </c>
      <c r="L112" s="643"/>
      <c r="M112" s="1"/>
      <c r="N112" s="1"/>
      <c r="O112" s="1"/>
      <c r="U112" s="34">
        <v>58656</v>
      </c>
      <c r="V112" s="35"/>
    </row>
    <row r="113" spans="1:22" ht="15" thickBot="1" x14ac:dyDescent="0.35">
      <c r="A113" s="633"/>
      <c r="B113" s="669"/>
      <c r="C113" s="124" t="s">
        <v>31</v>
      </c>
      <c r="D113" s="129"/>
      <c r="E113" s="129"/>
      <c r="F113" s="134"/>
      <c r="G113" s="136">
        <v>0.47543209876543208</v>
      </c>
      <c r="H113" s="136">
        <v>0.6594592592592593</v>
      </c>
      <c r="I113" s="136">
        <v>1.1022919437422107</v>
      </c>
      <c r="J113" s="76">
        <f>J112/J111</f>
        <v>0</v>
      </c>
      <c r="K113" s="76">
        <f>K112/K111</f>
        <v>0</v>
      </c>
      <c r="L113" s="643"/>
      <c r="M113" s="1"/>
      <c r="N113" s="1"/>
      <c r="O113" s="1"/>
      <c r="U113" s="647">
        <f>U112/U111</f>
        <v>0.21724444444444443</v>
      </c>
      <c r="V113" s="648"/>
    </row>
    <row r="114" spans="1:22" ht="15.75" customHeight="1" thickBot="1" x14ac:dyDescent="0.35">
      <c r="A114" s="633"/>
      <c r="B114" s="669"/>
      <c r="C114" s="636" t="s">
        <v>17</v>
      </c>
      <c r="D114" s="637"/>
      <c r="E114" s="637"/>
      <c r="F114" s="637"/>
      <c r="G114" s="637"/>
      <c r="H114" s="637"/>
      <c r="I114" s="637"/>
      <c r="J114" s="637"/>
      <c r="K114" s="638"/>
      <c r="L114" s="643"/>
      <c r="M114" s="1"/>
      <c r="N114" s="1"/>
      <c r="O114" s="1"/>
    </row>
    <row r="115" spans="1:22" ht="15" thickBot="1" x14ac:dyDescent="0.35">
      <c r="A115" s="634"/>
      <c r="B115" s="670"/>
      <c r="C115" s="639" t="s">
        <v>75</v>
      </c>
      <c r="D115" s="640"/>
      <c r="E115" s="640"/>
      <c r="F115" s="640"/>
      <c r="G115" s="640"/>
      <c r="H115" s="640"/>
      <c r="I115" s="640"/>
      <c r="J115" s="640"/>
      <c r="K115" s="641"/>
      <c r="L115" s="643"/>
      <c r="M115" s="1"/>
      <c r="N115" s="1"/>
      <c r="O115" s="1"/>
    </row>
    <row r="116" spans="1:22" ht="30" customHeight="1" thickBot="1" x14ac:dyDescent="0.35">
      <c r="A116" s="137" t="s">
        <v>76</v>
      </c>
      <c r="B116" s="70" t="s">
        <v>77</v>
      </c>
      <c r="C116" s="70"/>
      <c r="D116" s="247" t="s">
        <v>5</v>
      </c>
      <c r="E116" s="247" t="s">
        <v>6</v>
      </c>
      <c r="F116" s="247" t="s">
        <v>7</v>
      </c>
      <c r="G116" s="247" t="s">
        <v>8</v>
      </c>
      <c r="H116" s="247" t="s">
        <v>9</v>
      </c>
      <c r="I116" s="247" t="s">
        <v>10</v>
      </c>
      <c r="J116" s="247" t="s">
        <v>1</v>
      </c>
      <c r="K116" s="269" t="s">
        <v>263</v>
      </c>
      <c r="L116" s="643"/>
      <c r="M116" s="1"/>
      <c r="N116" s="1"/>
      <c r="O116" s="1"/>
      <c r="U116" s="645" t="s">
        <v>28</v>
      </c>
      <c r="V116" s="646"/>
    </row>
    <row r="117" spans="1:22" ht="15.75" customHeight="1" thickBot="1" x14ac:dyDescent="0.35">
      <c r="A117" s="665">
        <v>40</v>
      </c>
      <c r="B117" s="668" t="s">
        <v>78</v>
      </c>
      <c r="C117" s="10" t="s">
        <v>14</v>
      </c>
      <c r="D117" s="118">
        <v>0</v>
      </c>
      <c r="E117" s="16"/>
      <c r="F117" s="83">
        <v>40500</v>
      </c>
      <c r="G117" s="83">
        <v>121500</v>
      </c>
      <c r="H117" s="31">
        <v>251500</v>
      </c>
      <c r="I117" s="50">
        <v>215999.91</v>
      </c>
      <c r="J117" s="72">
        <v>250000</v>
      </c>
      <c r="K117" s="270">
        <f>J117</f>
        <v>250000</v>
      </c>
      <c r="L117" s="643"/>
      <c r="U117" s="34">
        <f>H117</f>
        <v>251500</v>
      </c>
      <c r="V117" s="35"/>
    </row>
    <row r="118" spans="1:22" ht="24.6" thickBot="1" x14ac:dyDescent="0.35">
      <c r="A118" s="666"/>
      <c r="B118" s="669"/>
      <c r="C118" s="124" t="s">
        <v>74</v>
      </c>
      <c r="D118" s="129"/>
      <c r="E118" s="129"/>
      <c r="F118" s="134">
        <v>0</v>
      </c>
      <c r="G118" s="83">
        <v>54814</v>
      </c>
      <c r="H118" s="83">
        <v>171211</v>
      </c>
      <c r="I118" s="50">
        <v>223439</v>
      </c>
      <c r="J118" s="37"/>
      <c r="K118" s="270">
        <f>J118</f>
        <v>0</v>
      </c>
      <c r="L118" s="688"/>
      <c r="U118" s="34">
        <v>55705</v>
      </c>
      <c r="V118" s="138"/>
    </row>
    <row r="119" spans="1:22" ht="15" thickBot="1" x14ac:dyDescent="0.35">
      <c r="A119" s="666"/>
      <c r="B119" s="669"/>
      <c r="C119" s="124" t="s">
        <v>31</v>
      </c>
      <c r="D119" s="129"/>
      <c r="E119" s="129"/>
      <c r="F119" s="134"/>
      <c r="G119" s="136">
        <v>0.45114403292181071</v>
      </c>
      <c r="H119" s="63">
        <v>0.68075944333996019</v>
      </c>
      <c r="I119" s="41">
        <v>1.0344356162000252</v>
      </c>
      <c r="J119" s="76">
        <f>J118/J117</f>
        <v>0</v>
      </c>
      <c r="K119" s="76">
        <f>K118/K117</f>
        <v>0</v>
      </c>
      <c r="L119" s="11"/>
      <c r="U119" s="671">
        <f>U118/U117</f>
        <v>0.2214910536779324</v>
      </c>
      <c r="V119" s="672"/>
    </row>
    <row r="120" spans="1:22" ht="15.75" customHeight="1" thickBot="1" x14ac:dyDescent="0.35">
      <c r="A120" s="666"/>
      <c r="B120" s="669"/>
      <c r="C120" s="636" t="s">
        <v>17</v>
      </c>
      <c r="D120" s="637"/>
      <c r="E120" s="637"/>
      <c r="F120" s="637"/>
      <c r="G120" s="637"/>
      <c r="H120" s="637"/>
      <c r="I120" s="637"/>
      <c r="J120" s="637"/>
      <c r="K120" s="638"/>
      <c r="L120" s="139" t="s">
        <v>79</v>
      </c>
    </row>
    <row r="121" spans="1:22" ht="15" thickBot="1" x14ac:dyDescent="0.35">
      <c r="A121" s="667"/>
      <c r="B121" s="670"/>
      <c r="C121" s="639" t="s">
        <v>75</v>
      </c>
      <c r="D121" s="640"/>
      <c r="E121" s="640"/>
      <c r="F121" s="640"/>
      <c r="G121" s="640"/>
      <c r="H121" s="640"/>
      <c r="I121" s="640"/>
      <c r="J121" s="640"/>
      <c r="K121" s="641"/>
      <c r="L121" s="11" t="s">
        <v>80</v>
      </c>
    </row>
    <row r="122" spans="1:22" ht="15" hidden="1" thickBot="1" x14ac:dyDescent="0.35">
      <c r="A122" s="617" t="s">
        <v>47</v>
      </c>
      <c r="B122" s="90" t="s">
        <v>48</v>
      </c>
      <c r="C122" s="90"/>
      <c r="D122" s="90" t="s">
        <v>49</v>
      </c>
      <c r="E122" s="90" t="s">
        <v>50</v>
      </c>
      <c r="F122" s="90" t="s">
        <v>51</v>
      </c>
      <c r="G122" s="91"/>
      <c r="H122" s="91"/>
      <c r="I122" s="91"/>
      <c r="J122" s="619"/>
      <c r="K122" s="619"/>
      <c r="L122" s="620"/>
    </row>
    <row r="123" spans="1:22" ht="15" hidden="1" thickBot="1" x14ac:dyDescent="0.35">
      <c r="A123" s="618"/>
      <c r="B123" s="92">
        <v>56544025.032652959</v>
      </c>
      <c r="C123" s="93"/>
      <c r="D123" s="92">
        <v>0</v>
      </c>
      <c r="E123" s="92">
        <v>0</v>
      </c>
      <c r="F123" s="92">
        <v>56544025.032652959</v>
      </c>
      <c r="G123" s="94" t="s">
        <v>52</v>
      </c>
      <c r="H123" s="95"/>
      <c r="I123" s="95"/>
      <c r="J123" s="621"/>
      <c r="K123" s="621"/>
      <c r="L123" s="622"/>
    </row>
    <row r="124" spans="1:22" ht="15" hidden="1" thickBot="1" x14ac:dyDescent="0.35">
      <c r="A124" s="617" t="s">
        <v>53</v>
      </c>
      <c r="B124" s="90" t="s">
        <v>54</v>
      </c>
      <c r="C124" s="97"/>
      <c r="D124" s="623"/>
      <c r="E124" s="624"/>
      <c r="F124" s="624"/>
      <c r="G124" s="624"/>
      <c r="H124" s="624"/>
      <c r="I124" s="624"/>
      <c r="J124" s="624"/>
      <c r="K124" s="624"/>
      <c r="L124" s="625"/>
    </row>
    <row r="125" spans="1:22" ht="15" hidden="1" thickBot="1" x14ac:dyDescent="0.35">
      <c r="A125" s="618"/>
      <c r="B125" s="140">
        <v>1.0599999999999996</v>
      </c>
      <c r="C125" s="95"/>
      <c r="D125" s="626"/>
      <c r="E125" s="627"/>
      <c r="F125" s="627"/>
      <c r="G125" s="627"/>
      <c r="H125" s="627"/>
      <c r="I125" s="627"/>
      <c r="J125" s="627"/>
      <c r="K125" s="627"/>
      <c r="L125" s="628"/>
    </row>
    <row r="126" spans="1:22" x14ac:dyDescent="0.3">
      <c r="A126" s="4"/>
      <c r="B126" s="4"/>
      <c r="C126" s="4"/>
      <c r="D126" s="4"/>
      <c r="E126" s="4"/>
      <c r="F126" s="4"/>
      <c r="G126" s="4"/>
      <c r="H126" s="4"/>
      <c r="I126" s="4"/>
      <c r="J126" s="4"/>
      <c r="K126" s="4"/>
      <c r="L126" s="4"/>
    </row>
    <row r="127" spans="1:22" ht="15" thickBot="1" x14ac:dyDescent="0.35">
      <c r="A127" s="4"/>
      <c r="B127" s="4"/>
      <c r="C127" s="4"/>
      <c r="D127" s="4"/>
      <c r="E127" s="4"/>
      <c r="F127" s="4"/>
      <c r="G127" s="4"/>
      <c r="H127" s="4"/>
      <c r="I127" s="4"/>
      <c r="J127" s="4"/>
      <c r="K127" s="4"/>
      <c r="L127" s="4"/>
    </row>
    <row r="128" spans="1:22" s="30" customFormat="1" ht="30.75" customHeight="1" thickBot="1" x14ac:dyDescent="0.35">
      <c r="A128" s="98" t="s">
        <v>81</v>
      </c>
      <c r="B128" s="45" t="s">
        <v>82</v>
      </c>
      <c r="C128" s="141"/>
      <c r="D128" s="247" t="s">
        <v>5</v>
      </c>
      <c r="E128" s="247" t="s">
        <v>6</v>
      </c>
      <c r="F128" s="247" t="s">
        <v>7</v>
      </c>
      <c r="G128" s="247" t="s">
        <v>8</v>
      </c>
      <c r="H128" s="247" t="s">
        <v>9</v>
      </c>
      <c r="I128" s="247" t="s">
        <v>10</v>
      </c>
      <c r="J128" s="247" t="s">
        <v>1</v>
      </c>
      <c r="K128" s="269" t="s">
        <v>263</v>
      </c>
      <c r="L128" s="100" t="s">
        <v>22</v>
      </c>
      <c r="U128" s="645" t="s">
        <v>28</v>
      </c>
      <c r="V128" s="646"/>
    </row>
    <row r="129" spans="1:22" ht="15" thickBot="1" x14ac:dyDescent="0.35">
      <c r="A129" s="632" t="s">
        <v>83</v>
      </c>
      <c r="B129" s="632" t="s">
        <v>84</v>
      </c>
      <c r="C129" s="10" t="s">
        <v>14</v>
      </c>
      <c r="D129" s="11">
        <v>0</v>
      </c>
      <c r="E129" s="338"/>
      <c r="F129" s="339"/>
      <c r="G129" s="339"/>
      <c r="H129" s="340"/>
      <c r="I129" s="119">
        <v>4</v>
      </c>
      <c r="J129" s="142">
        <f>'Tab G'!C59*'Tab J'!J53</f>
        <v>4</v>
      </c>
      <c r="K129" s="14">
        <f>J129</f>
        <v>4</v>
      </c>
      <c r="L129" s="642" t="s">
        <v>59</v>
      </c>
      <c r="U129" s="663" t="s">
        <v>15</v>
      </c>
      <c r="V129" s="664"/>
    </row>
    <row r="130" spans="1:22" ht="15" thickBot="1" x14ac:dyDescent="0.35">
      <c r="A130" s="633"/>
      <c r="B130" s="633"/>
      <c r="C130" s="15" t="s">
        <v>16</v>
      </c>
      <c r="D130" s="16"/>
      <c r="E130" s="341"/>
      <c r="F130" s="342"/>
      <c r="G130" s="342"/>
      <c r="H130" s="343"/>
      <c r="I130" s="87" t="s">
        <v>15</v>
      </c>
      <c r="J130" s="28"/>
      <c r="K130" s="14">
        <f>J130</f>
        <v>0</v>
      </c>
      <c r="L130" s="643"/>
      <c r="U130" s="663" t="s">
        <v>15</v>
      </c>
      <c r="V130" s="664"/>
    </row>
    <row r="131" spans="1:22" ht="15" thickBot="1" x14ac:dyDescent="0.35">
      <c r="A131" s="633"/>
      <c r="B131" s="633"/>
      <c r="C131" s="124" t="s">
        <v>31</v>
      </c>
      <c r="D131" s="143"/>
      <c r="E131" s="344"/>
      <c r="F131" s="345"/>
      <c r="G131" s="345"/>
      <c r="H131" s="346"/>
      <c r="I131" s="347" t="s">
        <v>15</v>
      </c>
      <c r="J131" s="75">
        <f>J130/J129</f>
        <v>0</v>
      </c>
      <c r="K131" s="75">
        <f>K130/K129</f>
        <v>0</v>
      </c>
      <c r="L131" s="643"/>
      <c r="U131" s="647">
        <v>0</v>
      </c>
      <c r="V131" s="648"/>
    </row>
    <row r="132" spans="1:22" ht="15" thickBot="1" x14ac:dyDescent="0.35">
      <c r="A132" s="633"/>
      <c r="B132" s="633"/>
      <c r="C132" s="651" t="s">
        <v>15</v>
      </c>
      <c r="D132" s="652"/>
      <c r="E132" s="652"/>
      <c r="F132" s="652"/>
      <c r="G132" s="652"/>
      <c r="H132" s="652"/>
      <c r="I132" s="652"/>
      <c r="J132" s="652"/>
      <c r="K132" s="653"/>
      <c r="L132" s="643"/>
      <c r="M132" s="1"/>
      <c r="N132" s="1"/>
      <c r="O132" s="1"/>
    </row>
    <row r="133" spans="1:22" ht="26.25" customHeight="1" thickBot="1" x14ac:dyDescent="0.35">
      <c r="A133" s="633"/>
      <c r="B133" s="634"/>
      <c r="C133" s="654" t="s">
        <v>257</v>
      </c>
      <c r="D133" s="655"/>
      <c r="E133" s="655"/>
      <c r="F133" s="655"/>
      <c r="G133" s="655"/>
      <c r="H133" s="655"/>
      <c r="I133" s="655"/>
      <c r="J133" s="655"/>
      <c r="K133" s="656"/>
      <c r="L133" s="643"/>
      <c r="M133" s="1"/>
      <c r="N133" s="1"/>
      <c r="O133" s="1"/>
    </row>
    <row r="134" spans="1:22" ht="24.6" hidden="1" thickBot="1" x14ac:dyDescent="0.35">
      <c r="A134" s="23" t="s">
        <v>76</v>
      </c>
      <c r="B134" s="144" t="s">
        <v>85</v>
      </c>
      <c r="C134" s="144"/>
      <c r="D134" s="144" t="s">
        <v>5</v>
      </c>
      <c r="E134" s="144" t="s">
        <v>6</v>
      </c>
      <c r="F134" s="144" t="s">
        <v>7</v>
      </c>
      <c r="G134" s="144" t="s">
        <v>8</v>
      </c>
      <c r="H134" s="144" t="s">
        <v>9</v>
      </c>
      <c r="I134" s="144" t="s">
        <v>10</v>
      </c>
      <c r="J134" s="145"/>
      <c r="K134" s="145"/>
      <c r="L134" s="643"/>
      <c r="M134" s="1"/>
      <c r="N134" s="1"/>
      <c r="O134" s="1"/>
    </row>
    <row r="135" spans="1:22" ht="15" hidden="1" thickBot="1" x14ac:dyDescent="0.35">
      <c r="A135" s="629">
        <v>10</v>
      </c>
      <c r="B135" s="657" t="s">
        <v>86</v>
      </c>
      <c r="C135" s="146" t="s">
        <v>14</v>
      </c>
      <c r="D135" s="147"/>
      <c r="E135" s="147"/>
      <c r="F135" s="147"/>
      <c r="G135" s="147"/>
      <c r="H135" s="147"/>
      <c r="I135" s="147"/>
      <c r="J135" s="148"/>
      <c r="K135" s="148"/>
      <c r="L135" s="643"/>
      <c r="M135" s="1"/>
      <c r="N135" s="1"/>
      <c r="O135" s="1"/>
    </row>
    <row r="136" spans="1:22" ht="15" hidden="1" thickBot="1" x14ac:dyDescent="0.35">
      <c r="A136" s="630"/>
      <c r="B136" s="658"/>
      <c r="C136" s="149" t="s">
        <v>16</v>
      </c>
      <c r="D136" s="150"/>
      <c r="E136" s="26"/>
      <c r="F136" s="26"/>
      <c r="G136" s="26"/>
      <c r="H136" s="26"/>
      <c r="I136" s="26"/>
      <c r="J136" s="151"/>
      <c r="K136" s="151"/>
      <c r="L136" s="644"/>
      <c r="M136" s="1"/>
      <c r="N136" s="1"/>
      <c r="O136" s="1"/>
    </row>
    <row r="137" spans="1:22" ht="15" hidden="1" thickBot="1" x14ac:dyDescent="0.35">
      <c r="A137" s="630"/>
      <c r="B137" s="658"/>
      <c r="C137" s="660" t="s">
        <v>17</v>
      </c>
      <c r="D137" s="661"/>
      <c r="E137" s="661"/>
      <c r="F137" s="661"/>
      <c r="G137" s="661"/>
      <c r="H137" s="661"/>
      <c r="I137" s="661"/>
      <c r="J137" s="146"/>
      <c r="K137" s="146"/>
      <c r="L137" s="139" t="s">
        <v>79</v>
      </c>
      <c r="M137" s="1"/>
      <c r="N137" s="1"/>
      <c r="O137" s="1"/>
    </row>
    <row r="138" spans="1:22" ht="15" hidden="1" thickBot="1" x14ac:dyDescent="0.35">
      <c r="A138" s="631"/>
      <c r="B138" s="659"/>
      <c r="C138" s="152"/>
      <c r="D138" s="662"/>
      <c r="E138" s="662"/>
      <c r="F138" s="662"/>
      <c r="G138" s="662"/>
      <c r="H138" s="662"/>
      <c r="I138" s="662"/>
      <c r="J138" s="147"/>
      <c r="K138" s="147"/>
      <c r="L138" s="11" t="s">
        <v>80</v>
      </c>
      <c r="M138" s="1"/>
      <c r="N138" s="1"/>
      <c r="O138" s="1"/>
    </row>
    <row r="139" spans="1:22" ht="15" hidden="1" thickBot="1" x14ac:dyDescent="0.35">
      <c r="A139" s="617" t="s">
        <v>47</v>
      </c>
      <c r="B139" s="90" t="s">
        <v>48</v>
      </c>
      <c r="C139" s="90"/>
      <c r="D139" s="90" t="s">
        <v>49</v>
      </c>
      <c r="E139" s="90" t="s">
        <v>50</v>
      </c>
      <c r="F139" s="90" t="s">
        <v>51</v>
      </c>
      <c r="G139" s="91"/>
      <c r="H139" s="91"/>
      <c r="I139" s="91"/>
      <c r="J139" s="619"/>
      <c r="K139" s="619"/>
      <c r="L139" s="620"/>
      <c r="M139" s="1"/>
      <c r="N139" s="1"/>
      <c r="O139" s="1"/>
    </row>
    <row r="140" spans="1:22" ht="15" hidden="1" thickBot="1" x14ac:dyDescent="0.35">
      <c r="A140" s="618"/>
      <c r="B140" s="92">
        <v>10216149.728793744</v>
      </c>
      <c r="C140" s="93"/>
      <c r="D140" s="92">
        <v>0</v>
      </c>
      <c r="E140" s="92">
        <v>0</v>
      </c>
      <c r="F140" s="92">
        <v>10216149.728793744</v>
      </c>
      <c r="G140" s="94" t="s">
        <v>52</v>
      </c>
      <c r="H140" s="95"/>
      <c r="I140" s="95"/>
      <c r="J140" s="621"/>
      <c r="K140" s="621"/>
      <c r="L140" s="622"/>
      <c r="M140" s="1"/>
      <c r="N140" s="1"/>
      <c r="O140" s="1"/>
    </row>
    <row r="141" spans="1:22" ht="15" hidden="1" thickBot="1" x14ac:dyDescent="0.35">
      <c r="A141" s="617" t="s">
        <v>53</v>
      </c>
      <c r="B141" s="90" t="s">
        <v>54</v>
      </c>
      <c r="C141" s="97"/>
      <c r="D141" s="623"/>
      <c r="E141" s="624"/>
      <c r="F141" s="624"/>
      <c r="G141" s="624"/>
      <c r="H141" s="624"/>
      <c r="I141" s="624"/>
      <c r="J141" s="624"/>
      <c r="K141" s="624"/>
      <c r="L141" s="625"/>
      <c r="M141" s="1"/>
      <c r="N141" s="1"/>
      <c r="O141" s="1"/>
    </row>
    <row r="142" spans="1:22" ht="15" hidden="1" thickBot="1" x14ac:dyDescent="0.35">
      <c r="A142" s="618"/>
      <c r="B142" s="140">
        <v>0.2649999999999999</v>
      </c>
      <c r="C142" s="95"/>
      <c r="D142" s="626"/>
      <c r="E142" s="627"/>
      <c r="F142" s="627"/>
      <c r="G142" s="627"/>
      <c r="H142" s="627"/>
      <c r="I142" s="627"/>
      <c r="J142" s="627"/>
      <c r="K142" s="627"/>
      <c r="L142" s="628"/>
      <c r="M142" s="1"/>
      <c r="N142" s="1"/>
      <c r="O142" s="1"/>
    </row>
    <row r="143" spans="1:22" x14ac:dyDescent="0.3">
      <c r="A143" s="4"/>
      <c r="B143" s="153"/>
      <c r="C143" s="153"/>
      <c r="D143" s="153"/>
      <c r="E143" s="153"/>
      <c r="F143" s="153"/>
      <c r="G143" s="153"/>
      <c r="H143" s="153"/>
      <c r="I143" s="153"/>
      <c r="J143" s="153"/>
      <c r="K143" s="153"/>
      <c r="L143" s="153"/>
      <c r="M143" s="1"/>
      <c r="N143" s="1"/>
      <c r="O143" s="1"/>
    </row>
    <row r="144" spans="1:22" ht="15" thickBot="1" x14ac:dyDescent="0.35">
      <c r="A144" s="1"/>
      <c r="B144" s="1"/>
      <c r="C144" s="1"/>
      <c r="D144" s="1"/>
      <c r="E144" s="1"/>
      <c r="F144" s="1"/>
      <c r="G144" s="1"/>
      <c r="H144" s="1"/>
      <c r="I144" s="1"/>
      <c r="J144" s="1"/>
      <c r="K144" s="1"/>
      <c r="L144" s="1"/>
      <c r="M144" s="1"/>
      <c r="N144" s="1"/>
      <c r="O144" s="1"/>
    </row>
    <row r="145" spans="1:22" ht="30" customHeight="1" thickBot="1" x14ac:dyDescent="0.35">
      <c r="A145" s="23" t="s">
        <v>87</v>
      </c>
      <c r="B145" s="7" t="s">
        <v>88</v>
      </c>
      <c r="C145" s="154"/>
      <c r="D145" s="247" t="s">
        <v>5</v>
      </c>
      <c r="E145" s="247" t="s">
        <v>6</v>
      </c>
      <c r="F145" s="247" t="s">
        <v>7</v>
      </c>
      <c r="G145" s="247" t="s">
        <v>8</v>
      </c>
      <c r="H145" s="247" t="s">
        <v>9</v>
      </c>
      <c r="I145" s="247" t="s">
        <v>10</v>
      </c>
      <c r="J145" s="247" t="s">
        <v>1</v>
      </c>
      <c r="K145" s="269" t="s">
        <v>263</v>
      </c>
      <c r="L145" s="24" t="s">
        <v>22</v>
      </c>
      <c r="M145" s="1"/>
      <c r="N145" s="1"/>
      <c r="O145" s="1"/>
      <c r="U145" s="645" t="s">
        <v>28</v>
      </c>
      <c r="V145" s="646"/>
    </row>
    <row r="146" spans="1:22" ht="15" thickBot="1" x14ac:dyDescent="0.35">
      <c r="A146" s="632" t="s">
        <v>89</v>
      </c>
      <c r="B146" s="632" t="s">
        <v>90</v>
      </c>
      <c r="C146" s="549" t="s">
        <v>14</v>
      </c>
      <c r="D146" s="180">
        <v>0</v>
      </c>
      <c r="E146" s="610"/>
      <c r="F146" s="610"/>
      <c r="G146" s="51">
        <f>'Tab J'!G56*'Tab G'!$R$59</f>
        <v>1570.8</v>
      </c>
      <c r="H146" s="51">
        <f>'Tab J'!H56*'Tab G'!$R$59</f>
        <v>1663.2</v>
      </c>
      <c r="I146" s="51">
        <f>'Tab J'!I56*'Tab G'!$R$59</f>
        <v>1755.6</v>
      </c>
      <c r="J146" s="51">
        <f>'Tab J'!J56*'Tab G'!S59</f>
        <v>1703.52</v>
      </c>
      <c r="K146" s="51">
        <f>J146</f>
        <v>1703.52</v>
      </c>
      <c r="L146" s="642" t="s">
        <v>59</v>
      </c>
      <c r="M146" s="1"/>
      <c r="N146" s="1"/>
      <c r="O146" s="1"/>
      <c r="U146" s="34">
        <v>0</v>
      </c>
      <c r="V146" s="35"/>
    </row>
    <row r="147" spans="1:22" ht="15" thickBot="1" x14ac:dyDescent="0.35">
      <c r="A147" s="633"/>
      <c r="B147" s="633"/>
      <c r="C147" s="542" t="s">
        <v>16</v>
      </c>
      <c r="D147" s="16"/>
      <c r="E147" s="26"/>
      <c r="F147" s="26"/>
      <c r="G147" s="155">
        <v>1228.3655999999999</v>
      </c>
      <c r="H147" s="156">
        <v>1727</v>
      </c>
      <c r="I147" s="156">
        <v>1745</v>
      </c>
      <c r="J147" s="157"/>
      <c r="K147" s="270">
        <f>J147</f>
        <v>0</v>
      </c>
      <c r="L147" s="643"/>
      <c r="M147" s="1"/>
      <c r="N147" s="1"/>
      <c r="O147" s="33"/>
      <c r="U147" s="34">
        <v>1714</v>
      </c>
      <c r="V147" s="35"/>
    </row>
    <row r="148" spans="1:22" ht="15" thickBot="1" x14ac:dyDescent="0.35">
      <c r="A148" s="633"/>
      <c r="B148" s="633"/>
      <c r="C148" s="611" t="s">
        <v>31</v>
      </c>
      <c r="D148" s="16"/>
      <c r="E148" s="26"/>
      <c r="F148" s="26"/>
      <c r="G148" s="507">
        <v>0.78190044557606608</v>
      </c>
      <c r="H148" s="508">
        <v>1.0383597883597884</v>
      </c>
      <c r="I148" s="509">
        <v>0.99396217817270449</v>
      </c>
      <c r="J148" s="507">
        <f>J147/J146</f>
        <v>0</v>
      </c>
      <c r="K148" s="546">
        <f>K147/K146</f>
        <v>0</v>
      </c>
      <c r="L148" s="643"/>
      <c r="M148" s="1"/>
      <c r="N148" s="1"/>
      <c r="O148" s="33"/>
      <c r="U148" s="647" t="e">
        <f>U147/U146</f>
        <v>#DIV/0!</v>
      </c>
      <c r="V148" s="648"/>
    </row>
    <row r="149" spans="1:22" ht="15.75" customHeight="1" thickBot="1" x14ac:dyDescent="0.35">
      <c r="A149" s="633"/>
      <c r="B149" s="633"/>
      <c r="C149" s="636" t="s">
        <v>17</v>
      </c>
      <c r="D149" s="637"/>
      <c r="E149" s="637"/>
      <c r="F149" s="637"/>
      <c r="G149" s="637"/>
      <c r="H149" s="637"/>
      <c r="I149" s="637"/>
      <c r="J149" s="637"/>
      <c r="K149" s="638"/>
      <c r="L149" s="643"/>
      <c r="M149" s="1"/>
      <c r="N149" s="1"/>
      <c r="O149" s="1"/>
    </row>
    <row r="150" spans="1:22" ht="26.25" customHeight="1" thickBot="1" x14ac:dyDescent="0.35">
      <c r="A150" s="633"/>
      <c r="B150" s="634"/>
      <c r="C150" s="639" t="s">
        <v>91</v>
      </c>
      <c r="D150" s="640"/>
      <c r="E150" s="640"/>
      <c r="F150" s="640"/>
      <c r="G150" s="640"/>
      <c r="H150" s="640"/>
      <c r="I150" s="640"/>
      <c r="J150" s="640"/>
      <c r="K150" s="641"/>
      <c r="L150" s="643"/>
      <c r="M150" s="1"/>
      <c r="N150" s="1"/>
      <c r="O150" s="1"/>
    </row>
    <row r="151" spans="1:22" ht="33" customHeight="1" thickBot="1" x14ac:dyDescent="0.35">
      <c r="A151" s="544" t="s">
        <v>76</v>
      </c>
      <c r="B151" s="612" t="s">
        <v>92</v>
      </c>
      <c r="C151" s="612"/>
      <c r="D151" s="613" t="s">
        <v>5</v>
      </c>
      <c r="E151" s="613" t="s">
        <v>6</v>
      </c>
      <c r="F151" s="613" t="s">
        <v>7</v>
      </c>
      <c r="G151" s="613" t="s">
        <v>8</v>
      </c>
      <c r="H151" s="613" t="s">
        <v>9</v>
      </c>
      <c r="I151" s="247" t="s">
        <v>10</v>
      </c>
      <c r="J151" s="246" t="s">
        <v>1</v>
      </c>
      <c r="K151" s="545" t="s">
        <v>263</v>
      </c>
      <c r="L151" s="643"/>
      <c r="M151" s="1"/>
      <c r="N151" s="1"/>
      <c r="O151" s="1"/>
      <c r="U151" s="645" t="s">
        <v>28</v>
      </c>
      <c r="V151" s="646"/>
    </row>
    <row r="152" spans="1:22" ht="15" thickBot="1" x14ac:dyDescent="0.35">
      <c r="A152" s="629">
        <v>10</v>
      </c>
      <c r="B152" s="632" t="s">
        <v>270</v>
      </c>
      <c r="C152" s="71" t="s">
        <v>14</v>
      </c>
      <c r="D152" s="592">
        <v>0</v>
      </c>
      <c r="E152" s="614"/>
      <c r="F152" s="614"/>
      <c r="G152" s="479">
        <f>'Tab J'!G59*'Tab G'!$E$59</f>
        <v>17.849999999999998</v>
      </c>
      <c r="H152" s="479">
        <f>'Tab J'!H59*'Tab G'!$E$59</f>
        <v>25.5</v>
      </c>
      <c r="I152" s="479">
        <f>'Tab J'!I59*'Tab G'!$E$59</f>
        <v>30.599999999999998</v>
      </c>
      <c r="J152" s="479">
        <f>'Tab J'!J59*'Tab G'!$E$59</f>
        <v>35.699999999999996</v>
      </c>
      <c r="K152" s="479">
        <f>J152</f>
        <v>35.699999999999996</v>
      </c>
      <c r="L152" s="643"/>
      <c r="M152" s="1"/>
      <c r="N152" s="1"/>
      <c r="O152" s="1"/>
      <c r="U152" s="160">
        <v>0</v>
      </c>
      <c r="V152" s="161"/>
    </row>
    <row r="153" spans="1:22" ht="15" thickBot="1" x14ac:dyDescent="0.35">
      <c r="A153" s="630"/>
      <c r="B153" s="633"/>
      <c r="C153" s="549" t="s">
        <v>16</v>
      </c>
      <c r="D153" s="615"/>
      <c r="E153" s="26"/>
      <c r="F153" s="26"/>
      <c r="G153" s="87"/>
      <c r="H153" s="117">
        <v>46</v>
      </c>
      <c r="I153" s="117">
        <v>42</v>
      </c>
      <c r="J153" s="157"/>
      <c r="K153" s="479">
        <f>J153</f>
        <v>0</v>
      </c>
      <c r="L153" s="644"/>
      <c r="M153" s="1"/>
      <c r="N153" s="1"/>
      <c r="O153" s="1"/>
      <c r="U153" s="160">
        <v>20</v>
      </c>
      <c r="V153" s="161"/>
    </row>
    <row r="154" spans="1:22" ht="15" thickBot="1" x14ac:dyDescent="0.35">
      <c r="A154" s="630"/>
      <c r="B154" s="633"/>
      <c r="C154" s="162" t="s">
        <v>31</v>
      </c>
      <c r="D154" s="16"/>
      <c r="E154" s="26"/>
      <c r="F154" s="26"/>
      <c r="G154" s="510"/>
      <c r="H154" s="509">
        <v>1.7692307692307692</v>
      </c>
      <c r="I154" s="509">
        <v>1.3548387096774193</v>
      </c>
      <c r="J154" s="511">
        <f>J153/J152</f>
        <v>0</v>
      </c>
      <c r="K154" s="74">
        <f>K153/K152</f>
        <v>0</v>
      </c>
      <c r="L154" s="592"/>
      <c r="M154" s="1"/>
      <c r="N154" s="1"/>
      <c r="O154" s="1"/>
      <c r="U154" s="647" t="e">
        <f>U153/U152</f>
        <v>#DIV/0!</v>
      </c>
      <c r="V154" s="648"/>
    </row>
    <row r="155" spans="1:22" ht="15" thickBot="1" x14ac:dyDescent="0.35">
      <c r="A155" s="630"/>
      <c r="B155" s="633"/>
      <c r="C155" s="162"/>
      <c r="D155" s="62"/>
      <c r="E155" s="163"/>
      <c r="F155" s="163"/>
      <c r="G155" s="164"/>
      <c r="H155" s="165"/>
      <c r="I155" s="165"/>
      <c r="J155" s="166"/>
      <c r="K155" s="522"/>
      <c r="L155" s="592"/>
      <c r="M155" s="1"/>
      <c r="N155" s="1"/>
      <c r="O155" s="1"/>
      <c r="U155" s="167"/>
      <c r="V155" s="167"/>
    </row>
    <row r="156" spans="1:22" ht="15" thickBot="1" x14ac:dyDescent="0.35">
      <c r="A156" s="630"/>
      <c r="B156" s="633"/>
      <c r="C156" s="636" t="s">
        <v>17</v>
      </c>
      <c r="D156" s="637"/>
      <c r="E156" s="637"/>
      <c r="F156" s="637"/>
      <c r="G156" s="637"/>
      <c r="H156" s="637"/>
      <c r="I156" s="637"/>
      <c r="J156" s="637"/>
      <c r="K156" s="638"/>
      <c r="L156" s="616" t="s">
        <v>79</v>
      </c>
      <c r="M156" s="1"/>
      <c r="N156" s="1"/>
      <c r="O156" s="1"/>
    </row>
    <row r="157" spans="1:22" ht="15" thickBot="1" x14ac:dyDescent="0.35">
      <c r="A157" s="631"/>
      <c r="B157" s="634"/>
      <c r="C157" s="639" t="s">
        <v>37</v>
      </c>
      <c r="D157" s="640"/>
      <c r="E157" s="640"/>
      <c r="F157" s="640"/>
      <c r="G157" s="640"/>
      <c r="H157" s="640"/>
      <c r="I157" s="640"/>
      <c r="J157" s="640"/>
      <c r="K157" s="641"/>
      <c r="L157" s="592" t="s">
        <v>94</v>
      </c>
      <c r="M157" s="1"/>
      <c r="N157" s="1"/>
      <c r="O157" s="1"/>
    </row>
    <row r="158" spans="1:22" ht="15" hidden="1" thickBot="1" x14ac:dyDescent="0.35">
      <c r="A158" s="617" t="s">
        <v>47</v>
      </c>
      <c r="B158" s="90" t="s">
        <v>48</v>
      </c>
      <c r="C158" s="90"/>
      <c r="D158" s="90" t="s">
        <v>49</v>
      </c>
      <c r="E158" s="90" t="s">
        <v>50</v>
      </c>
      <c r="F158" s="90" t="s">
        <v>51</v>
      </c>
      <c r="G158" s="91"/>
      <c r="H158" s="91"/>
      <c r="I158" s="91"/>
      <c r="J158" s="619"/>
      <c r="K158" s="619"/>
      <c r="L158" s="620"/>
      <c r="M158" s="1"/>
      <c r="N158" s="1"/>
      <c r="O158" s="1"/>
    </row>
    <row r="159" spans="1:22" ht="15" hidden="1" thickBot="1" x14ac:dyDescent="0.35">
      <c r="A159" s="618"/>
      <c r="B159" s="92">
        <v>10216149.728793744</v>
      </c>
      <c r="C159" s="93"/>
      <c r="D159" s="92">
        <v>0</v>
      </c>
      <c r="E159" s="92">
        <v>0</v>
      </c>
      <c r="F159" s="92">
        <v>10216149.728793744</v>
      </c>
      <c r="G159" s="94" t="s">
        <v>52</v>
      </c>
      <c r="H159" s="95"/>
      <c r="I159" s="95"/>
      <c r="J159" s="621"/>
      <c r="K159" s="621"/>
      <c r="L159" s="622"/>
      <c r="M159" s="1"/>
      <c r="N159" s="1"/>
      <c r="O159" s="1"/>
    </row>
    <row r="160" spans="1:22" ht="15" hidden="1" thickBot="1" x14ac:dyDescent="0.35">
      <c r="A160" s="617" t="s">
        <v>53</v>
      </c>
      <c r="B160" s="90" t="s">
        <v>54</v>
      </c>
      <c r="C160" s="97"/>
      <c r="D160" s="623"/>
      <c r="E160" s="624"/>
      <c r="F160" s="624"/>
      <c r="G160" s="624"/>
      <c r="H160" s="624"/>
      <c r="I160" s="624"/>
      <c r="J160" s="624"/>
      <c r="K160" s="624"/>
      <c r="L160" s="625"/>
      <c r="M160" s="1"/>
      <c r="N160" s="1"/>
      <c r="O160" s="1"/>
    </row>
    <row r="161" spans="1:22" ht="15" hidden="1" thickBot="1" x14ac:dyDescent="0.35">
      <c r="A161" s="618"/>
      <c r="B161" s="140">
        <v>0.2649999999999999</v>
      </c>
      <c r="C161" s="95"/>
      <c r="D161" s="626"/>
      <c r="E161" s="627"/>
      <c r="F161" s="627"/>
      <c r="G161" s="627"/>
      <c r="H161" s="627"/>
      <c r="I161" s="627"/>
      <c r="J161" s="627"/>
      <c r="K161" s="627"/>
      <c r="L161" s="628"/>
      <c r="M161" s="1"/>
      <c r="N161" s="1"/>
      <c r="O161" s="1"/>
    </row>
    <row r="162" spans="1:22" x14ac:dyDescent="0.3">
      <c r="A162" s="1"/>
      <c r="B162" s="1"/>
      <c r="C162" s="1"/>
      <c r="D162" s="1"/>
      <c r="E162" s="1"/>
      <c r="F162" s="1"/>
      <c r="G162" s="1"/>
      <c r="H162" s="1"/>
      <c r="I162" s="1"/>
      <c r="J162" s="1"/>
      <c r="K162" s="1"/>
      <c r="L162" s="1"/>
      <c r="M162" s="1"/>
      <c r="N162" s="1"/>
      <c r="O162" s="1"/>
    </row>
    <row r="163" spans="1:22" ht="15" thickBot="1" x14ac:dyDescent="0.35">
      <c r="A163" s="1"/>
      <c r="B163" s="1"/>
      <c r="C163" s="1"/>
      <c r="D163" s="1"/>
      <c r="E163" s="1"/>
      <c r="F163" s="1"/>
      <c r="G163" s="1"/>
      <c r="H163" s="1"/>
      <c r="I163" s="1"/>
      <c r="J163" s="1"/>
      <c r="K163" s="1"/>
      <c r="L163" s="1"/>
      <c r="M163" s="1"/>
      <c r="N163" s="1"/>
      <c r="O163" s="1"/>
    </row>
    <row r="164" spans="1:22" ht="33" customHeight="1" thickBot="1" x14ac:dyDescent="0.35">
      <c r="A164" s="23" t="s">
        <v>95</v>
      </c>
      <c r="B164" s="7" t="s">
        <v>96</v>
      </c>
      <c r="C164" s="154"/>
      <c r="D164" s="247" t="s">
        <v>5</v>
      </c>
      <c r="E164" s="247" t="s">
        <v>6</v>
      </c>
      <c r="F164" s="247" t="s">
        <v>7</v>
      </c>
      <c r="G164" s="247" t="s">
        <v>8</v>
      </c>
      <c r="H164" s="247" t="s">
        <v>9</v>
      </c>
      <c r="I164" s="247" t="s">
        <v>10</v>
      </c>
      <c r="J164" s="247" t="s">
        <v>1</v>
      </c>
      <c r="K164" s="269" t="s">
        <v>263</v>
      </c>
      <c r="L164" s="24" t="s">
        <v>22</v>
      </c>
      <c r="M164" s="1"/>
      <c r="N164" s="1"/>
      <c r="O164" s="1"/>
      <c r="U164" s="645" t="s">
        <v>28</v>
      </c>
      <c r="V164" s="646"/>
    </row>
    <row r="165" spans="1:22" ht="15" thickBot="1" x14ac:dyDescent="0.35">
      <c r="A165" s="632" t="s">
        <v>97</v>
      </c>
      <c r="B165" s="632" t="s">
        <v>98</v>
      </c>
      <c r="C165" s="10" t="s">
        <v>14</v>
      </c>
      <c r="D165" s="11">
        <v>0</v>
      </c>
      <c r="E165" s="16"/>
      <c r="F165" s="12">
        <v>269</v>
      </c>
      <c r="G165" s="159">
        <f>'Tab G'!$K$59*'Tab J'!G62</f>
        <v>307.29999999999995</v>
      </c>
      <c r="H165" s="159">
        <f>'Tab G'!$K$59*'Tab J'!H62</f>
        <v>526.79999999999995</v>
      </c>
      <c r="I165" s="168">
        <v>730</v>
      </c>
      <c r="J165" s="169">
        <f>'Tab G'!M59*'Tab J'!J62</f>
        <v>846.93999999999994</v>
      </c>
      <c r="K165" s="121">
        <f>J165</f>
        <v>846.93999999999994</v>
      </c>
      <c r="L165" s="642" t="s">
        <v>59</v>
      </c>
      <c r="M165" s="1"/>
      <c r="N165" s="1"/>
      <c r="O165" s="33"/>
      <c r="U165" s="160">
        <v>0</v>
      </c>
      <c r="V165" s="161"/>
    </row>
    <row r="166" spans="1:22" ht="15" thickBot="1" x14ac:dyDescent="0.35">
      <c r="A166" s="633"/>
      <c r="B166" s="633"/>
      <c r="C166" s="15" t="s">
        <v>16</v>
      </c>
      <c r="D166" s="16"/>
      <c r="E166" s="16"/>
      <c r="F166" s="87">
        <v>6</v>
      </c>
      <c r="G166" s="170">
        <v>293</v>
      </c>
      <c r="H166" s="117">
        <v>661</v>
      </c>
      <c r="I166" s="170">
        <v>786</v>
      </c>
      <c r="J166" s="200"/>
      <c r="K166" s="121">
        <f>J166</f>
        <v>0</v>
      </c>
      <c r="L166" s="643"/>
      <c r="M166" s="1"/>
      <c r="N166" s="1"/>
      <c r="O166" s="33"/>
      <c r="U166" s="160">
        <v>333</v>
      </c>
      <c r="V166" s="161"/>
    </row>
    <row r="167" spans="1:22" ht="15" thickBot="1" x14ac:dyDescent="0.35">
      <c r="A167" s="633"/>
      <c r="B167" s="633"/>
      <c r="C167" s="158" t="s">
        <v>31</v>
      </c>
      <c r="D167" s="16"/>
      <c r="E167" s="16"/>
      <c r="F167" s="507">
        <v>2.2304832713754646E-2</v>
      </c>
      <c r="G167" s="507">
        <v>0.95346566872762784</v>
      </c>
      <c r="H167" s="508">
        <v>1.2547456340167047</v>
      </c>
      <c r="I167" s="507">
        <v>1.0767123287671232</v>
      </c>
      <c r="J167" s="509">
        <f>J166/J165</f>
        <v>0</v>
      </c>
      <c r="K167" s="76">
        <f>K166/K165</f>
        <v>0</v>
      </c>
      <c r="L167" s="643"/>
      <c r="M167" s="1"/>
      <c r="N167" s="1"/>
      <c r="O167" s="33"/>
      <c r="U167" s="647" t="e">
        <f>U166/U165</f>
        <v>#DIV/0!</v>
      </c>
      <c r="V167" s="648"/>
    </row>
    <row r="168" spans="1:22" ht="15.75" customHeight="1" thickBot="1" x14ac:dyDescent="0.35">
      <c r="A168" s="633"/>
      <c r="B168" s="633"/>
      <c r="C168" s="651" t="s">
        <v>17</v>
      </c>
      <c r="D168" s="652"/>
      <c r="E168" s="652"/>
      <c r="F168" s="652"/>
      <c r="G168" s="652"/>
      <c r="H168" s="652"/>
      <c r="I168" s="652"/>
      <c r="J168" s="652"/>
      <c r="K168" s="653"/>
      <c r="L168" s="643"/>
      <c r="M168" s="1"/>
      <c r="N168" s="1"/>
      <c r="O168" s="1"/>
    </row>
    <row r="169" spans="1:22" ht="15" thickBot="1" x14ac:dyDescent="0.35">
      <c r="A169" s="633"/>
      <c r="B169" s="634"/>
      <c r="C169" s="639"/>
      <c r="D169" s="640"/>
      <c r="E169" s="640"/>
      <c r="F169" s="640"/>
      <c r="G169" s="640"/>
      <c r="H169" s="640"/>
      <c r="I169" s="640"/>
      <c r="J169" s="640"/>
      <c r="K169" s="641"/>
      <c r="L169" s="643"/>
      <c r="M169" s="1"/>
      <c r="N169" s="1"/>
      <c r="O169" s="1"/>
    </row>
    <row r="170" spans="1:22" s="30" customFormat="1" ht="27.75" customHeight="1" thickBot="1" x14ac:dyDescent="0.35">
      <c r="A170" s="633"/>
      <c r="B170" s="29" t="s">
        <v>99</v>
      </c>
      <c r="C170" s="29"/>
      <c r="D170" s="247" t="s">
        <v>5</v>
      </c>
      <c r="E170" s="247" t="s">
        <v>6</v>
      </c>
      <c r="F170" s="247" t="s">
        <v>7</v>
      </c>
      <c r="G170" s="247" t="s">
        <v>8</v>
      </c>
      <c r="H170" s="247" t="s">
        <v>9</v>
      </c>
      <c r="I170" s="247" t="s">
        <v>10</v>
      </c>
      <c r="J170" s="247" t="s">
        <v>1</v>
      </c>
      <c r="K170" s="269" t="s">
        <v>263</v>
      </c>
      <c r="L170" s="643"/>
      <c r="U170" s="645" t="s">
        <v>28</v>
      </c>
      <c r="V170" s="646"/>
    </row>
    <row r="171" spans="1:22" ht="15" thickBot="1" x14ac:dyDescent="0.35">
      <c r="A171" s="633"/>
      <c r="B171" s="632" t="s">
        <v>218</v>
      </c>
      <c r="C171" s="71" t="s">
        <v>14</v>
      </c>
      <c r="D171" s="172" t="s">
        <v>30</v>
      </c>
      <c r="E171" s="16"/>
      <c r="F171" s="16"/>
      <c r="G171" s="159">
        <f>'Tab G'!$K$59*'Tab J'!G65</f>
        <v>746.3</v>
      </c>
      <c r="H171" s="159">
        <f>'Tab G'!$K$59*'Tab J'!H65</f>
        <v>790.2</v>
      </c>
      <c r="I171" s="159">
        <f>'Tab G'!$K$59*'Tab J'!I65</f>
        <v>790.2</v>
      </c>
      <c r="J171" s="201">
        <f>'Tab J'!J65*'Tab G'!$L$59</f>
        <v>856.52</v>
      </c>
      <c r="K171" s="201">
        <f>J171</f>
        <v>856.52</v>
      </c>
      <c r="L171" s="643"/>
      <c r="M171" s="1"/>
      <c r="N171" s="1"/>
      <c r="O171" s="1"/>
      <c r="U171" s="160">
        <v>0</v>
      </c>
      <c r="V171" s="161"/>
    </row>
    <row r="172" spans="1:22" ht="15" thickBot="1" x14ac:dyDescent="0.35">
      <c r="A172" s="633"/>
      <c r="B172" s="633"/>
      <c r="C172" s="10" t="s">
        <v>16</v>
      </c>
      <c r="D172" s="73"/>
      <c r="E172" s="16"/>
      <c r="F172" s="16"/>
      <c r="G172" s="170">
        <v>877</v>
      </c>
      <c r="H172" s="117">
        <v>823</v>
      </c>
      <c r="I172" s="170">
        <v>894</v>
      </c>
      <c r="J172" s="174"/>
      <c r="K172" s="161">
        <f>J172</f>
        <v>0</v>
      </c>
      <c r="L172" s="643"/>
      <c r="M172" s="1"/>
      <c r="N172" s="1"/>
      <c r="O172" s="1"/>
      <c r="U172" s="160">
        <v>834</v>
      </c>
      <c r="V172" s="161"/>
    </row>
    <row r="173" spans="1:22" ht="15" thickBot="1" x14ac:dyDescent="0.35">
      <c r="A173" s="633"/>
      <c r="B173" s="633"/>
      <c r="C173" s="158" t="s">
        <v>31</v>
      </c>
      <c r="D173" s="16"/>
      <c r="E173" s="16"/>
      <c r="F173" s="16"/>
      <c r="G173" s="507">
        <v>1.1226040978189029</v>
      </c>
      <c r="H173" s="512">
        <v>1.0262172284644195</v>
      </c>
      <c r="I173" s="507">
        <v>1.1316455696202532</v>
      </c>
      <c r="J173" s="513">
        <f>J172/J171</f>
        <v>0</v>
      </c>
      <c r="K173" s="189">
        <f>K172/K171</f>
        <v>0</v>
      </c>
      <c r="L173" s="643"/>
      <c r="M173" s="1"/>
      <c r="N173" s="1"/>
      <c r="O173" s="1"/>
      <c r="U173" s="647" t="e">
        <f>U172/U171</f>
        <v>#DIV/0!</v>
      </c>
      <c r="V173" s="648"/>
    </row>
    <row r="174" spans="1:22" ht="15" thickBot="1" x14ac:dyDescent="0.35">
      <c r="A174" s="633"/>
      <c r="B174" s="633"/>
      <c r="C174" s="651" t="s">
        <v>17</v>
      </c>
      <c r="D174" s="652"/>
      <c r="E174" s="652"/>
      <c r="F174" s="652"/>
      <c r="G174" s="652"/>
      <c r="H174" s="652"/>
      <c r="I174" s="652"/>
      <c r="J174" s="18"/>
      <c r="K174" s="18"/>
      <c r="L174" s="643"/>
      <c r="M174" s="1"/>
      <c r="N174" s="1"/>
      <c r="O174" s="1"/>
    </row>
    <row r="175" spans="1:22" ht="15" thickBot="1" x14ac:dyDescent="0.35">
      <c r="A175" s="634"/>
      <c r="B175" s="634"/>
      <c r="C175" s="639" t="s">
        <v>75</v>
      </c>
      <c r="D175" s="640"/>
      <c r="E175" s="640"/>
      <c r="F175" s="640"/>
      <c r="G175" s="640"/>
      <c r="H175" s="640"/>
      <c r="I175" s="640"/>
      <c r="J175" s="44"/>
      <c r="K175" s="44"/>
      <c r="L175" s="643"/>
      <c r="M175" s="1"/>
      <c r="N175" s="1"/>
      <c r="O175" s="1"/>
    </row>
    <row r="176" spans="1:22" ht="25.5" customHeight="1" thickBot="1" x14ac:dyDescent="0.35">
      <c r="A176" s="137" t="s">
        <v>76</v>
      </c>
      <c r="B176" s="70" t="s">
        <v>101</v>
      </c>
      <c r="C176" s="70"/>
      <c r="D176" s="247" t="s">
        <v>5</v>
      </c>
      <c r="E176" s="247" t="s">
        <v>6</v>
      </c>
      <c r="F176" s="247" t="s">
        <v>7</v>
      </c>
      <c r="G176" s="247" t="s">
        <v>8</v>
      </c>
      <c r="H176" s="247" t="s">
        <v>9</v>
      </c>
      <c r="I176" s="247" t="s">
        <v>10</v>
      </c>
      <c r="J176" s="247" t="s">
        <v>1</v>
      </c>
      <c r="K176" s="269" t="s">
        <v>263</v>
      </c>
      <c r="L176" s="643"/>
      <c r="M176" s="1"/>
      <c r="N176" s="1"/>
      <c r="O176" s="1"/>
      <c r="U176" s="645" t="s">
        <v>28</v>
      </c>
      <c r="V176" s="646"/>
    </row>
    <row r="177" spans="1:22" ht="15" thickBot="1" x14ac:dyDescent="0.35">
      <c r="A177" s="629">
        <v>15</v>
      </c>
      <c r="B177" s="632" t="s">
        <v>102</v>
      </c>
      <c r="C177" s="10" t="s">
        <v>14</v>
      </c>
      <c r="D177" s="118">
        <v>0</v>
      </c>
      <c r="E177" s="16"/>
      <c r="F177" s="168">
        <v>45</v>
      </c>
      <c r="G177" s="168">
        <v>135</v>
      </c>
      <c r="H177" s="174">
        <v>300</v>
      </c>
      <c r="I177" s="168">
        <v>265</v>
      </c>
      <c r="J177" s="175">
        <v>300</v>
      </c>
      <c r="K177" s="121">
        <f>J177</f>
        <v>300</v>
      </c>
      <c r="L177" s="643"/>
      <c r="M177" s="1"/>
      <c r="N177" s="1"/>
      <c r="O177" s="1"/>
      <c r="U177" s="160">
        <v>150</v>
      </c>
      <c r="V177" s="161"/>
    </row>
    <row r="178" spans="1:22" ht="15" thickBot="1" x14ac:dyDescent="0.35">
      <c r="A178" s="630"/>
      <c r="B178" s="633"/>
      <c r="C178" s="10" t="s">
        <v>16</v>
      </c>
      <c r="D178" s="16"/>
      <c r="E178" s="16"/>
      <c r="F178" s="87">
        <v>0</v>
      </c>
      <c r="G178" s="170">
        <v>78</v>
      </c>
      <c r="H178" s="176">
        <v>220</v>
      </c>
      <c r="I178" s="170">
        <v>271</v>
      </c>
      <c r="J178" s="168"/>
      <c r="K178" s="181">
        <f>J178</f>
        <v>0</v>
      </c>
      <c r="L178" s="644"/>
      <c r="M178" s="1"/>
      <c r="N178" s="1"/>
      <c r="O178" s="1"/>
      <c r="U178" s="176">
        <v>80</v>
      </c>
      <c r="V178" s="177"/>
    </row>
    <row r="179" spans="1:22" ht="15" thickBot="1" x14ac:dyDescent="0.35">
      <c r="A179" s="630"/>
      <c r="B179" s="633"/>
      <c r="C179" s="124" t="s">
        <v>31</v>
      </c>
      <c r="D179" s="62"/>
      <c r="E179" s="16"/>
      <c r="F179" s="84">
        <v>0</v>
      </c>
      <c r="G179" s="84">
        <v>0.57777777777777772</v>
      </c>
      <c r="H179" s="41">
        <v>0.73333333333333328</v>
      </c>
      <c r="I179" s="84">
        <v>1.0226415094339623</v>
      </c>
      <c r="J179" s="42">
        <f>J178/J177</f>
        <v>0</v>
      </c>
      <c r="K179" s="42">
        <f>K178/K177</f>
        <v>0</v>
      </c>
      <c r="L179" s="11"/>
      <c r="M179" s="1"/>
      <c r="N179" s="1"/>
      <c r="O179" s="1"/>
      <c r="P179" s="1"/>
      <c r="Q179" s="1"/>
      <c r="R179" s="1"/>
      <c r="S179" s="1"/>
      <c r="T179" s="1"/>
      <c r="U179" s="649">
        <f>U178/U177</f>
        <v>0.53333333333333333</v>
      </c>
      <c r="V179" s="650"/>
    </row>
    <row r="180" spans="1:22" ht="15" thickBot="1" x14ac:dyDescent="0.35">
      <c r="A180" s="630"/>
      <c r="B180" s="633"/>
      <c r="C180" s="636" t="s">
        <v>17</v>
      </c>
      <c r="D180" s="637"/>
      <c r="E180" s="637"/>
      <c r="F180" s="637"/>
      <c r="G180" s="637"/>
      <c r="H180" s="637"/>
      <c r="I180" s="637"/>
      <c r="J180" s="637"/>
      <c r="K180" s="638"/>
      <c r="L180" s="139" t="s">
        <v>79</v>
      </c>
      <c r="M180" s="1"/>
      <c r="N180" s="1"/>
      <c r="O180" s="1"/>
      <c r="P180" s="1"/>
      <c r="Q180" s="1"/>
      <c r="R180" s="1"/>
      <c r="S180" s="1"/>
      <c r="T180" s="1"/>
    </row>
    <row r="181" spans="1:22" ht="15" thickBot="1" x14ac:dyDescent="0.35">
      <c r="A181" s="631"/>
      <c r="B181" s="634"/>
      <c r="C181" s="639" t="s">
        <v>75</v>
      </c>
      <c r="D181" s="640"/>
      <c r="E181" s="640"/>
      <c r="F181" s="640"/>
      <c r="G181" s="640"/>
      <c r="H181" s="640"/>
      <c r="I181" s="640"/>
      <c r="J181" s="640"/>
      <c r="K181" s="641"/>
      <c r="L181" s="11" t="s">
        <v>80</v>
      </c>
      <c r="M181" s="1"/>
      <c r="N181" s="1"/>
      <c r="O181" s="1"/>
      <c r="P181" s="1"/>
      <c r="Q181" s="1"/>
      <c r="R181" s="1"/>
      <c r="S181" s="1"/>
      <c r="T181" s="1"/>
    </row>
    <row r="182" spans="1:22" ht="15" hidden="1" thickBot="1" x14ac:dyDescent="0.35">
      <c r="A182" s="617" t="s">
        <v>47</v>
      </c>
      <c r="B182" s="90" t="s">
        <v>48</v>
      </c>
      <c r="C182" s="90"/>
      <c r="D182" s="90" t="s">
        <v>49</v>
      </c>
      <c r="E182" s="90" t="s">
        <v>50</v>
      </c>
      <c r="F182" s="90" t="s">
        <v>51</v>
      </c>
      <c r="G182" s="91"/>
      <c r="H182" s="91"/>
      <c r="I182" s="91"/>
      <c r="J182" s="619"/>
      <c r="K182" s="619"/>
      <c r="L182" s="620"/>
      <c r="M182" s="1"/>
      <c r="N182" s="1"/>
      <c r="O182" s="1"/>
      <c r="P182" s="1"/>
      <c r="Q182" s="1"/>
      <c r="R182" s="1"/>
      <c r="S182" s="1"/>
      <c r="T182" s="1"/>
    </row>
    <row r="183" spans="1:22" ht="15" hidden="1" thickBot="1" x14ac:dyDescent="0.35">
      <c r="A183" s="618"/>
      <c r="B183" s="92">
        <v>22367394.408166476</v>
      </c>
      <c r="C183" s="93"/>
      <c r="D183" s="92">
        <v>0</v>
      </c>
      <c r="E183" s="92">
        <v>0</v>
      </c>
      <c r="F183" s="92">
        <v>22367394.408166476</v>
      </c>
      <c r="G183" s="94" t="s">
        <v>52</v>
      </c>
      <c r="H183" s="95"/>
      <c r="I183" s="95"/>
      <c r="J183" s="621"/>
      <c r="K183" s="621"/>
      <c r="L183" s="622"/>
      <c r="M183" s="1"/>
      <c r="N183" s="1"/>
      <c r="O183" s="1"/>
      <c r="P183" s="1"/>
      <c r="Q183" s="1"/>
      <c r="R183" s="1"/>
      <c r="S183" s="1"/>
      <c r="T183" s="1"/>
    </row>
    <row r="184" spans="1:22" ht="15" hidden="1" thickBot="1" x14ac:dyDescent="0.35">
      <c r="A184" s="617" t="s">
        <v>53</v>
      </c>
      <c r="B184" s="90" t="s">
        <v>54</v>
      </c>
      <c r="C184" s="97"/>
      <c r="D184" s="623"/>
      <c r="E184" s="624"/>
      <c r="F184" s="624"/>
      <c r="G184" s="624"/>
      <c r="H184" s="624"/>
      <c r="I184" s="624"/>
      <c r="J184" s="624"/>
      <c r="K184" s="624"/>
      <c r="L184" s="625"/>
      <c r="M184" s="1"/>
      <c r="N184" s="1"/>
      <c r="O184" s="1"/>
      <c r="P184" s="1"/>
      <c r="Q184" s="1"/>
      <c r="R184" s="1"/>
      <c r="S184" s="1"/>
      <c r="T184" s="1"/>
    </row>
    <row r="185" spans="1:22" ht="15" hidden="1" thickBot="1" x14ac:dyDescent="0.35">
      <c r="A185" s="618"/>
      <c r="B185" s="140">
        <v>0.39749999999999991</v>
      </c>
      <c r="C185" s="95"/>
      <c r="D185" s="626"/>
      <c r="E185" s="627"/>
      <c r="F185" s="627"/>
      <c r="G185" s="627"/>
      <c r="H185" s="627"/>
      <c r="I185" s="627"/>
      <c r="J185" s="627"/>
      <c r="K185" s="627"/>
      <c r="L185" s="628"/>
      <c r="M185" s="1"/>
      <c r="N185" s="1"/>
      <c r="O185" s="1"/>
      <c r="P185" s="1"/>
      <c r="Q185" s="1"/>
      <c r="R185" s="1"/>
      <c r="S185" s="1"/>
      <c r="T185" s="1"/>
    </row>
    <row r="186" spans="1:22" hidden="1" x14ac:dyDescent="0.3">
      <c r="A186" s="1"/>
      <c r="B186" s="1"/>
      <c r="C186" s="1"/>
      <c r="D186" s="1"/>
      <c r="E186" s="1"/>
      <c r="F186" s="1"/>
      <c r="G186" s="1"/>
      <c r="H186" s="1"/>
      <c r="I186" s="1"/>
      <c r="J186" s="1"/>
      <c r="K186" s="1"/>
      <c r="L186" s="1"/>
      <c r="M186" s="1"/>
      <c r="N186" s="1"/>
      <c r="O186" s="1"/>
      <c r="P186" s="1"/>
      <c r="Q186" s="1"/>
      <c r="R186" s="1"/>
      <c r="S186" s="1"/>
      <c r="T186" s="1"/>
    </row>
    <row r="187" spans="1:22" ht="15" thickBot="1" x14ac:dyDescent="0.35">
      <c r="A187" s="1"/>
      <c r="B187" s="1"/>
      <c r="C187" s="1"/>
      <c r="D187" s="1"/>
      <c r="E187" s="1"/>
      <c r="F187" s="1"/>
      <c r="G187" s="1"/>
      <c r="H187" s="1"/>
      <c r="I187" s="1"/>
      <c r="J187" s="1"/>
      <c r="K187" s="1"/>
      <c r="L187" s="1"/>
      <c r="M187" s="1"/>
      <c r="N187" s="1"/>
      <c r="O187" s="1"/>
      <c r="P187" s="1"/>
      <c r="Q187" s="1"/>
      <c r="R187" s="1"/>
      <c r="S187" s="1"/>
      <c r="T187" s="1"/>
    </row>
    <row r="188" spans="1:22" s="30" customFormat="1" ht="24" customHeight="1" thickBot="1" x14ac:dyDescent="0.35">
      <c r="A188" s="98" t="s">
        <v>103</v>
      </c>
      <c r="B188" s="45" t="s">
        <v>104</v>
      </c>
      <c r="C188" s="141"/>
      <c r="D188" s="247" t="s">
        <v>5</v>
      </c>
      <c r="E188" s="247" t="s">
        <v>6</v>
      </c>
      <c r="F188" s="247" t="s">
        <v>7</v>
      </c>
      <c r="G188" s="247" t="s">
        <v>8</v>
      </c>
      <c r="H188" s="247" t="s">
        <v>9</v>
      </c>
      <c r="I188" s="247" t="s">
        <v>10</v>
      </c>
      <c r="J188" s="247" t="s">
        <v>1</v>
      </c>
      <c r="K188" s="269" t="s">
        <v>263</v>
      </c>
      <c r="L188" s="100" t="s">
        <v>22</v>
      </c>
      <c r="U188" s="645" t="s">
        <v>28</v>
      </c>
      <c r="V188" s="646"/>
    </row>
    <row r="189" spans="1:22" ht="15" thickBot="1" x14ac:dyDescent="0.35">
      <c r="A189" s="632" t="s">
        <v>105</v>
      </c>
      <c r="B189" s="632" t="s">
        <v>106</v>
      </c>
      <c r="C189" s="10" t="s">
        <v>14</v>
      </c>
      <c r="D189" s="118">
        <v>0</v>
      </c>
      <c r="E189" s="26"/>
      <c r="F189" s="26"/>
      <c r="G189" s="168">
        <v>162</v>
      </c>
      <c r="H189" s="11">
        <v>402</v>
      </c>
      <c r="I189" s="11">
        <v>240</v>
      </c>
      <c r="J189" s="178">
        <v>284</v>
      </c>
      <c r="K189" s="173">
        <f>J189</f>
        <v>284</v>
      </c>
      <c r="L189" s="642" t="s">
        <v>59</v>
      </c>
      <c r="M189" s="1"/>
      <c r="N189" s="1"/>
      <c r="O189" s="1"/>
      <c r="P189" s="1"/>
      <c r="Q189" s="1"/>
      <c r="R189" s="1"/>
      <c r="S189" s="1"/>
      <c r="T189" s="1"/>
      <c r="U189" s="179">
        <v>0</v>
      </c>
      <c r="V189" s="180"/>
    </row>
    <row r="190" spans="1:22" ht="15" thickBot="1" x14ac:dyDescent="0.35">
      <c r="A190" s="633"/>
      <c r="B190" s="633"/>
      <c r="C190" s="268" t="s">
        <v>16</v>
      </c>
      <c r="D190" s="118" t="s">
        <v>107</v>
      </c>
      <c r="E190" s="26"/>
      <c r="F190" s="26"/>
      <c r="G190" s="170">
        <v>114</v>
      </c>
      <c r="H190" s="133">
        <v>193</v>
      </c>
      <c r="I190" s="133">
        <v>253</v>
      </c>
      <c r="J190" s="168"/>
      <c r="K190" s="181">
        <f>J190</f>
        <v>0</v>
      </c>
      <c r="L190" s="643"/>
      <c r="M190" s="1"/>
      <c r="N190" s="1"/>
      <c r="O190" s="1"/>
      <c r="P190" s="1"/>
      <c r="Q190" s="1"/>
      <c r="R190" s="1"/>
      <c r="S190" s="1"/>
      <c r="T190" s="1"/>
      <c r="U190" s="182">
        <v>137</v>
      </c>
      <c r="V190" s="183"/>
    </row>
    <row r="191" spans="1:22" ht="15" thickBot="1" x14ac:dyDescent="0.35">
      <c r="A191" s="633"/>
      <c r="B191" s="633"/>
      <c r="C191" s="158" t="s">
        <v>31</v>
      </c>
      <c r="D191" s="118"/>
      <c r="E191" s="26"/>
      <c r="F191" s="26"/>
      <c r="G191" s="84">
        <v>0.70370370370370372</v>
      </c>
      <c r="H191" s="41">
        <v>0.48009950248756217</v>
      </c>
      <c r="I191" s="514">
        <v>0.99090909090909096</v>
      </c>
      <c r="J191" s="42">
        <f>J190/J189</f>
        <v>0</v>
      </c>
      <c r="K191" s="42">
        <f>K190/K189</f>
        <v>0</v>
      </c>
      <c r="L191" s="643"/>
      <c r="U191" s="647" t="e">
        <f>U190/U189</f>
        <v>#DIV/0!</v>
      </c>
      <c r="V191" s="648"/>
    </row>
    <row r="192" spans="1:22" ht="15.75" customHeight="1" thickBot="1" x14ac:dyDescent="0.35">
      <c r="A192" s="633"/>
      <c r="B192" s="633"/>
      <c r="C192" s="636" t="s">
        <v>17</v>
      </c>
      <c r="D192" s="637"/>
      <c r="E192" s="637"/>
      <c r="F192" s="637"/>
      <c r="G192" s="637"/>
      <c r="H192" s="637"/>
      <c r="I192" s="637"/>
      <c r="J192" s="637"/>
      <c r="K192" s="638"/>
      <c r="L192" s="643"/>
    </row>
    <row r="193" spans="1:22" ht="15" thickBot="1" x14ac:dyDescent="0.35">
      <c r="A193" s="633"/>
      <c r="B193" s="634"/>
      <c r="C193" s="639" t="s">
        <v>75</v>
      </c>
      <c r="D193" s="640"/>
      <c r="E193" s="640"/>
      <c r="F193" s="640"/>
      <c r="G193" s="640"/>
      <c r="H193" s="640"/>
      <c r="I193" s="640"/>
      <c r="J193" s="640"/>
      <c r="K193" s="641"/>
      <c r="L193" s="643"/>
    </row>
    <row r="194" spans="1:22" s="30" customFormat="1" ht="30" customHeight="1" thickBot="1" x14ac:dyDescent="0.35">
      <c r="A194" s="633"/>
      <c r="B194" s="29" t="s">
        <v>108</v>
      </c>
      <c r="C194" s="29"/>
      <c r="D194" s="247" t="s">
        <v>5</v>
      </c>
      <c r="E194" s="247" t="s">
        <v>6</v>
      </c>
      <c r="F194" s="247" t="s">
        <v>7</v>
      </c>
      <c r="G194" s="247" t="s">
        <v>8</v>
      </c>
      <c r="H194" s="247" t="s">
        <v>9</v>
      </c>
      <c r="I194" s="247" t="s">
        <v>10</v>
      </c>
      <c r="J194" s="247" t="s">
        <v>1</v>
      </c>
      <c r="K194" s="269" t="s">
        <v>263</v>
      </c>
      <c r="L194" s="643"/>
      <c r="U194" s="645" t="s">
        <v>28</v>
      </c>
      <c r="V194" s="646"/>
    </row>
    <row r="195" spans="1:22" ht="15" thickBot="1" x14ac:dyDescent="0.35">
      <c r="A195" s="633"/>
      <c r="B195" s="632" t="s">
        <v>116</v>
      </c>
      <c r="C195" s="272" t="s">
        <v>14</v>
      </c>
      <c r="D195" s="118" t="s">
        <v>107</v>
      </c>
      <c r="E195" s="26"/>
      <c r="F195" s="26"/>
      <c r="G195" s="333">
        <v>165</v>
      </c>
      <c r="H195" s="333">
        <v>468</v>
      </c>
      <c r="I195" s="333">
        <v>510</v>
      </c>
      <c r="J195" s="335">
        <v>531</v>
      </c>
      <c r="K195" s="173">
        <f>J195</f>
        <v>531</v>
      </c>
      <c r="L195" s="643"/>
      <c r="U195" s="160">
        <v>0</v>
      </c>
      <c r="V195" s="161"/>
    </row>
    <row r="196" spans="1:22" ht="15" thickBot="1" x14ac:dyDescent="0.35">
      <c r="A196" s="633"/>
      <c r="B196" s="633"/>
      <c r="C196" s="268" t="s">
        <v>16</v>
      </c>
      <c r="D196" s="118" t="s">
        <v>107</v>
      </c>
      <c r="E196" s="26"/>
      <c r="F196" s="26"/>
      <c r="G196" s="334">
        <v>194</v>
      </c>
      <c r="H196" s="334">
        <v>425</v>
      </c>
      <c r="I196" s="334">
        <v>531</v>
      </c>
      <c r="J196" s="524"/>
      <c r="K196" s="121">
        <f>J196</f>
        <v>0</v>
      </c>
      <c r="L196" s="643"/>
      <c r="U196" s="185">
        <v>198</v>
      </c>
      <c r="V196" s="186"/>
    </row>
    <row r="197" spans="1:22" ht="15" thickBot="1" x14ac:dyDescent="0.35">
      <c r="A197" s="633"/>
      <c r="B197" s="633"/>
      <c r="C197" s="10" t="s">
        <v>31</v>
      </c>
      <c r="D197" s="187"/>
      <c r="E197" s="26"/>
      <c r="F197" s="26"/>
      <c r="G197" s="84">
        <v>1.1757575757575758</v>
      </c>
      <c r="H197" s="41">
        <v>0.91666666666666663</v>
      </c>
      <c r="I197" s="515">
        <v>1.0588235294117647</v>
      </c>
      <c r="J197" s="42">
        <f>J196/J195</f>
        <v>0</v>
      </c>
      <c r="K197" s="42">
        <f>K196/K195</f>
        <v>0</v>
      </c>
      <c r="L197" s="643"/>
      <c r="U197" s="188" t="e">
        <f>U196/U195</f>
        <v>#DIV/0!</v>
      </c>
      <c r="V197" s="189"/>
    </row>
    <row r="198" spans="1:22" ht="15.75" customHeight="1" thickBot="1" x14ac:dyDescent="0.35">
      <c r="A198" s="633"/>
      <c r="B198" s="633"/>
      <c r="C198" s="636" t="s">
        <v>17</v>
      </c>
      <c r="D198" s="637"/>
      <c r="E198" s="637"/>
      <c r="F198" s="637"/>
      <c r="G198" s="637"/>
      <c r="H198" s="637"/>
      <c r="I198" s="637"/>
      <c r="J198" s="637"/>
      <c r="K198" s="638"/>
      <c r="L198" s="643"/>
    </row>
    <row r="199" spans="1:22" ht="15" thickBot="1" x14ac:dyDescent="0.35">
      <c r="A199" s="633"/>
      <c r="B199" s="634"/>
      <c r="C199" s="639" t="s">
        <v>75</v>
      </c>
      <c r="D199" s="640"/>
      <c r="E199" s="640"/>
      <c r="F199" s="640"/>
      <c r="G199" s="640"/>
      <c r="H199" s="640"/>
      <c r="I199" s="640"/>
      <c r="J199" s="640"/>
      <c r="K199" s="641"/>
      <c r="L199" s="643"/>
      <c r="M199" s="1"/>
      <c r="N199" s="1"/>
      <c r="O199" s="1"/>
    </row>
    <row r="200" spans="1:22" s="30" customFormat="1" ht="24" customHeight="1" thickBot="1" x14ac:dyDescent="0.35">
      <c r="A200" s="633"/>
      <c r="B200" s="29" t="s">
        <v>109</v>
      </c>
      <c r="C200" s="29"/>
      <c r="D200" s="247" t="s">
        <v>5</v>
      </c>
      <c r="E200" s="247" t="s">
        <v>6</v>
      </c>
      <c r="F200" s="247" t="s">
        <v>7</v>
      </c>
      <c r="G200" s="247" t="s">
        <v>8</v>
      </c>
      <c r="H200" s="247" t="s">
        <v>9</v>
      </c>
      <c r="I200" s="247" t="s">
        <v>10</v>
      </c>
      <c r="J200" s="247" t="s">
        <v>1</v>
      </c>
      <c r="K200" s="269" t="s">
        <v>263</v>
      </c>
      <c r="L200" s="643"/>
      <c r="U200" s="645" t="s">
        <v>28</v>
      </c>
      <c r="V200" s="646"/>
    </row>
    <row r="201" spans="1:22" ht="15" thickBot="1" x14ac:dyDescent="0.35">
      <c r="A201" s="633"/>
      <c r="B201" s="632" t="s">
        <v>117</v>
      </c>
      <c r="C201" s="78" t="s">
        <v>14</v>
      </c>
      <c r="D201" s="190"/>
      <c r="E201" s="191"/>
      <c r="F201" s="191"/>
      <c r="G201" s="192">
        <v>373</v>
      </c>
      <c r="H201" s="184">
        <v>672</v>
      </c>
      <c r="I201" s="184">
        <v>524</v>
      </c>
      <c r="J201" s="173">
        <v>600</v>
      </c>
      <c r="K201" s="121">
        <f>J201</f>
        <v>600</v>
      </c>
      <c r="L201" s="643"/>
      <c r="M201" s="1"/>
      <c r="N201" s="1"/>
      <c r="O201" s="1"/>
      <c r="U201" s="160">
        <v>0</v>
      </c>
      <c r="V201" s="161"/>
    </row>
    <row r="202" spans="1:22" ht="15" thickBot="1" x14ac:dyDescent="0.35">
      <c r="A202" s="633"/>
      <c r="B202" s="633"/>
      <c r="C202" s="78" t="s">
        <v>16</v>
      </c>
      <c r="D202" s="190"/>
      <c r="E202" s="191"/>
      <c r="F202" s="191"/>
      <c r="G202" s="193">
        <v>379</v>
      </c>
      <c r="H202" s="184">
        <v>432</v>
      </c>
      <c r="I202" s="184">
        <v>510</v>
      </c>
      <c r="J202" s="171"/>
      <c r="K202" s="121">
        <f>J202</f>
        <v>0</v>
      </c>
      <c r="L202" s="643"/>
      <c r="M202" s="1"/>
      <c r="N202" s="1"/>
      <c r="O202" s="1"/>
      <c r="U202" s="160">
        <v>392</v>
      </c>
      <c r="V202" s="161"/>
    </row>
    <row r="203" spans="1:22" ht="15" thickBot="1" x14ac:dyDescent="0.35">
      <c r="A203" s="633"/>
      <c r="B203" s="633"/>
      <c r="C203" s="40" t="s">
        <v>31</v>
      </c>
      <c r="D203" s="26"/>
      <c r="E203" s="26"/>
      <c r="F203" s="26"/>
      <c r="G203" s="84">
        <v>1.0160857908847185</v>
      </c>
      <c r="H203" s="41">
        <v>0.6428571428571429</v>
      </c>
      <c r="I203" s="515">
        <v>0.97328244274809161</v>
      </c>
      <c r="J203" s="42">
        <f>J202/J201</f>
        <v>0</v>
      </c>
      <c r="K203" s="76">
        <f>K202/K201</f>
        <v>0</v>
      </c>
      <c r="L203" s="643"/>
      <c r="M203" s="1"/>
      <c r="N203" s="1"/>
      <c r="O203" s="1"/>
      <c r="U203" s="647" t="e">
        <f>U202/U201</f>
        <v>#DIV/0!</v>
      </c>
      <c r="V203" s="648"/>
    </row>
    <row r="204" spans="1:22" ht="15" thickBot="1" x14ac:dyDescent="0.35">
      <c r="A204" s="633"/>
      <c r="B204" s="633"/>
      <c r="C204" s="636"/>
      <c r="D204" s="637"/>
      <c r="E204" s="637"/>
      <c r="F204" s="637"/>
      <c r="G204" s="637"/>
      <c r="H204" s="637"/>
      <c r="I204" s="637"/>
      <c r="J204" s="637"/>
      <c r="K204" s="638"/>
      <c r="L204" s="643"/>
      <c r="M204" s="1"/>
      <c r="N204" s="1"/>
      <c r="O204" s="1"/>
    </row>
    <row r="205" spans="1:22" ht="15" thickBot="1" x14ac:dyDescent="0.35">
      <c r="A205" s="634"/>
      <c r="B205" s="634"/>
      <c r="C205" s="639" t="s">
        <v>75</v>
      </c>
      <c r="D205" s="640"/>
      <c r="E205" s="640"/>
      <c r="F205" s="640"/>
      <c r="G205" s="640"/>
      <c r="H205" s="640"/>
      <c r="I205" s="640"/>
      <c r="J205" s="640"/>
      <c r="K205" s="641"/>
      <c r="L205" s="643"/>
      <c r="M205" s="1"/>
      <c r="N205" s="1"/>
      <c r="O205" s="1"/>
    </row>
    <row r="206" spans="1:22" s="30" customFormat="1" ht="25.5" customHeight="1" thickBot="1" x14ac:dyDescent="0.35">
      <c r="A206" s="194" t="s">
        <v>76</v>
      </c>
      <c r="B206" s="29" t="s">
        <v>110</v>
      </c>
      <c r="C206" s="29"/>
      <c r="D206" s="247" t="s">
        <v>5</v>
      </c>
      <c r="E206" s="247" t="s">
        <v>6</v>
      </c>
      <c r="F206" s="247" t="s">
        <v>7</v>
      </c>
      <c r="G206" s="247" t="s">
        <v>8</v>
      </c>
      <c r="H206" s="247" t="s">
        <v>9</v>
      </c>
      <c r="I206" s="247" t="s">
        <v>10</v>
      </c>
      <c r="J206" s="247" t="s">
        <v>1</v>
      </c>
      <c r="K206" s="269" t="s">
        <v>263</v>
      </c>
      <c r="L206" s="643"/>
      <c r="U206" s="9" t="s">
        <v>111</v>
      </c>
      <c r="V206" s="9" t="s">
        <v>34</v>
      </c>
    </row>
    <row r="207" spans="1:22" ht="15" thickBot="1" x14ac:dyDescent="0.35">
      <c r="A207" s="629">
        <v>25</v>
      </c>
      <c r="B207" s="632" t="s">
        <v>112</v>
      </c>
      <c r="C207" s="635" t="s">
        <v>14</v>
      </c>
      <c r="D207" s="118" t="s">
        <v>30</v>
      </c>
      <c r="E207" s="16"/>
      <c r="F207" s="184">
        <v>1582.98</v>
      </c>
      <c r="G207" s="184">
        <v>1319.15</v>
      </c>
      <c r="H207" s="184">
        <v>1055.3200000000002</v>
      </c>
      <c r="I207" s="336"/>
      <c r="J207" s="336"/>
      <c r="K207" s="336"/>
      <c r="L207" s="643"/>
      <c r="M207" s="1"/>
      <c r="N207" s="1"/>
      <c r="O207" s="1"/>
      <c r="U207" s="49">
        <v>427700</v>
      </c>
      <c r="V207" s="49">
        <f>427700*0.2</f>
        <v>85540</v>
      </c>
    </row>
    <row r="208" spans="1:22" ht="15" thickBot="1" x14ac:dyDescent="0.35">
      <c r="A208" s="630"/>
      <c r="B208" s="633"/>
      <c r="C208" s="635"/>
      <c r="D208" s="118" t="s">
        <v>30</v>
      </c>
      <c r="E208" s="16"/>
      <c r="F208" s="195" t="s">
        <v>113</v>
      </c>
      <c r="G208" s="195" t="s">
        <v>114</v>
      </c>
      <c r="H208" s="195" t="s">
        <v>115</v>
      </c>
      <c r="I208" s="337" t="s">
        <v>256</v>
      </c>
      <c r="J208" s="196" t="s">
        <v>256</v>
      </c>
      <c r="K208" s="197" t="str">
        <f>J208</f>
        <v>&lt;17%</v>
      </c>
      <c r="L208" s="643"/>
      <c r="M208" s="1"/>
      <c r="N208" s="1"/>
      <c r="O208" s="1"/>
      <c r="U208" s="174"/>
      <c r="V208" s="1"/>
    </row>
    <row r="209" spans="1:22" ht="15" thickBot="1" x14ac:dyDescent="0.35">
      <c r="A209" s="630"/>
      <c r="B209" s="633"/>
      <c r="C209" s="635" t="s">
        <v>16</v>
      </c>
      <c r="D209" s="16"/>
      <c r="E209" s="16"/>
      <c r="F209" s="184">
        <v>1477.4480000000003</v>
      </c>
      <c r="G209" s="355">
        <v>295</v>
      </c>
      <c r="H209" s="332">
        <v>147.5</v>
      </c>
      <c r="I209" s="336"/>
      <c r="J209" s="336"/>
      <c r="K209" s="336"/>
      <c r="L209" s="643"/>
      <c r="M209" s="1"/>
      <c r="N209" s="1"/>
      <c r="O209" s="33"/>
      <c r="U209" s="58">
        <f>V207/U207</f>
        <v>0.2</v>
      </c>
      <c r="V209" s="49">
        <v>45203</v>
      </c>
    </row>
    <row r="210" spans="1:22" ht="15" thickBot="1" x14ac:dyDescent="0.35">
      <c r="A210" s="630"/>
      <c r="B210" s="633"/>
      <c r="C210" s="635"/>
      <c r="D210" s="16"/>
      <c r="E210" s="16"/>
      <c r="F210" s="198">
        <v>0.28000000000000003</v>
      </c>
      <c r="G210" s="356">
        <v>0.31</v>
      </c>
      <c r="H210" s="356">
        <v>0.16</v>
      </c>
      <c r="I210" s="198">
        <v>0.20250000000000001</v>
      </c>
      <c r="J210" s="199"/>
      <c r="K210" s="75">
        <f>J210</f>
        <v>0</v>
      </c>
      <c r="L210" s="644"/>
      <c r="M210" s="1"/>
      <c r="N210" s="1"/>
      <c r="O210" s="1"/>
      <c r="U210" s="58"/>
      <c r="V210" s="189">
        <f>V209/U207</f>
        <v>0.10568856675239655</v>
      </c>
    </row>
    <row r="211" spans="1:22" ht="15.75" customHeight="1" thickBot="1" x14ac:dyDescent="0.35">
      <c r="A211" s="630"/>
      <c r="B211" s="633"/>
      <c r="C211" s="636" t="s">
        <v>17</v>
      </c>
      <c r="D211" s="637"/>
      <c r="E211" s="637"/>
      <c r="F211" s="637"/>
      <c r="G211" s="637"/>
      <c r="H211" s="637"/>
      <c r="I211" s="637"/>
      <c r="J211" s="637"/>
      <c r="K211" s="638"/>
      <c r="L211" s="139" t="s">
        <v>79</v>
      </c>
      <c r="M211" s="1"/>
      <c r="N211" s="1"/>
      <c r="O211" s="1"/>
    </row>
    <row r="212" spans="1:22" ht="13.5" customHeight="1" thickBot="1" x14ac:dyDescent="0.35">
      <c r="A212" s="631"/>
      <c r="B212" s="634"/>
      <c r="C212" s="639" t="s">
        <v>37</v>
      </c>
      <c r="D212" s="640"/>
      <c r="E212" s="640"/>
      <c r="F212" s="640"/>
      <c r="G212" s="640"/>
      <c r="H212" s="640"/>
      <c r="I212" s="640"/>
      <c r="J212" s="640"/>
      <c r="K212" s="641"/>
      <c r="L212" s="11" t="s">
        <v>80</v>
      </c>
      <c r="M212" s="1"/>
      <c r="N212" s="1"/>
      <c r="O212" s="1"/>
    </row>
    <row r="213" spans="1:22" ht="15" hidden="1" thickBot="1" x14ac:dyDescent="0.35">
      <c r="A213" s="617" t="s">
        <v>47</v>
      </c>
      <c r="B213" s="90" t="s">
        <v>48</v>
      </c>
      <c r="C213" s="90"/>
      <c r="D213" s="90" t="s">
        <v>49</v>
      </c>
      <c r="E213" s="90" t="s">
        <v>50</v>
      </c>
      <c r="F213" s="90" t="s">
        <v>51</v>
      </c>
      <c r="G213" s="91"/>
      <c r="H213" s="91"/>
      <c r="I213" s="91"/>
      <c r="J213" s="619"/>
      <c r="K213" s="619"/>
      <c r="L213" s="620"/>
      <c r="M213" s="1"/>
      <c r="N213" s="1"/>
      <c r="O213" s="1"/>
    </row>
    <row r="214" spans="1:22" ht="15" hidden="1" thickBot="1" x14ac:dyDescent="0.35">
      <c r="A214" s="618"/>
      <c r="B214" s="92">
        <v>86351046.306711122</v>
      </c>
      <c r="C214" s="93"/>
      <c r="D214" s="92">
        <v>0</v>
      </c>
      <c r="E214" s="92">
        <v>0</v>
      </c>
      <c r="F214" s="92">
        <v>86351046.306711122</v>
      </c>
      <c r="G214" s="94" t="s">
        <v>52</v>
      </c>
      <c r="H214" s="95"/>
      <c r="I214" s="95"/>
      <c r="J214" s="621"/>
      <c r="K214" s="621"/>
      <c r="L214" s="622"/>
      <c r="M214" s="1"/>
      <c r="N214" s="1"/>
      <c r="O214" s="1"/>
    </row>
    <row r="215" spans="1:22" ht="15" hidden="1" thickBot="1" x14ac:dyDescent="0.35">
      <c r="A215" s="617" t="s">
        <v>53</v>
      </c>
      <c r="B215" s="90" t="s">
        <v>54</v>
      </c>
      <c r="C215" s="97"/>
      <c r="D215" s="623"/>
      <c r="E215" s="624"/>
      <c r="F215" s="624"/>
      <c r="G215" s="624"/>
      <c r="H215" s="624"/>
      <c r="I215" s="624"/>
      <c r="J215" s="624"/>
      <c r="K215" s="624"/>
      <c r="L215" s="625"/>
    </row>
    <row r="216" spans="1:22" ht="14.25" hidden="1" customHeight="1" thickBot="1" x14ac:dyDescent="0.35">
      <c r="A216" s="618"/>
      <c r="B216" s="140">
        <v>0.66249999999999987</v>
      </c>
      <c r="C216" s="95"/>
      <c r="D216" s="626"/>
      <c r="E216" s="627"/>
      <c r="F216" s="627"/>
      <c r="G216" s="627"/>
      <c r="H216" s="627"/>
      <c r="I216" s="627"/>
      <c r="J216" s="627"/>
      <c r="K216" s="627"/>
      <c r="L216" s="628"/>
    </row>
    <row r="217" spans="1:22" x14ac:dyDescent="0.3">
      <c r="A217" s="1"/>
      <c r="B217" s="1"/>
      <c r="C217" s="1"/>
      <c r="D217" s="1"/>
      <c r="E217" s="1"/>
      <c r="F217" s="1"/>
      <c r="G217" s="1"/>
      <c r="H217" s="1"/>
      <c r="I217" s="1"/>
      <c r="J217" s="1"/>
      <c r="K217" s="1"/>
      <c r="L217" s="1"/>
    </row>
    <row r="218" spans="1:22" x14ac:dyDescent="0.3">
      <c r="A218" s="1"/>
      <c r="B218" s="1"/>
      <c r="C218" s="1"/>
      <c r="D218" s="1"/>
      <c r="E218" s="1"/>
      <c r="F218" s="1"/>
      <c r="G218" s="1"/>
      <c r="H218" s="1"/>
      <c r="I218" s="1"/>
      <c r="J218" s="1"/>
      <c r="K218" s="1"/>
      <c r="L218" s="1"/>
    </row>
  </sheetData>
  <mergeCells count="177">
    <mergeCell ref="B2:L2"/>
    <mergeCell ref="L3:L19"/>
    <mergeCell ref="B50:B56"/>
    <mergeCell ref="C50:C51"/>
    <mergeCell ref="D55:I55"/>
    <mergeCell ref="D56:I56"/>
    <mergeCell ref="B58:B66"/>
    <mergeCell ref="U3:V3"/>
    <mergeCell ref="A6:A19"/>
    <mergeCell ref="B6:B11"/>
    <mergeCell ref="D10:I10"/>
    <mergeCell ref="D11:I11"/>
    <mergeCell ref="B13:B19"/>
    <mergeCell ref="D18:I18"/>
    <mergeCell ref="D19:I19"/>
    <mergeCell ref="A67:A68"/>
    <mergeCell ref="J67:L67"/>
    <mergeCell ref="J68:L68"/>
    <mergeCell ref="A69:A70"/>
    <mergeCell ref="D69:L70"/>
    <mergeCell ref="U29:V29"/>
    <mergeCell ref="B30:B34"/>
    <mergeCell ref="U32:V32"/>
    <mergeCell ref="D33:I33"/>
    <mergeCell ref="D34:I34"/>
    <mergeCell ref="A24:A66"/>
    <mergeCell ref="B24:B28"/>
    <mergeCell ref="L24:L66"/>
    <mergeCell ref="D27:I27"/>
    <mergeCell ref="D28:I28"/>
    <mergeCell ref="B36:B42"/>
    <mergeCell ref="C36:C37"/>
    <mergeCell ref="D41:I41"/>
    <mergeCell ref="D42:I42"/>
    <mergeCell ref="U43:V43"/>
    <mergeCell ref="B44:B48"/>
    <mergeCell ref="U46:V46"/>
    <mergeCell ref="C47:I47"/>
    <mergeCell ref="C48:I48"/>
    <mergeCell ref="B111:B115"/>
    <mergeCell ref="U113:V113"/>
    <mergeCell ref="C114:K114"/>
    <mergeCell ref="C115:K115"/>
    <mergeCell ref="C58:C59"/>
    <mergeCell ref="C60:C61"/>
    <mergeCell ref="D65:K65"/>
    <mergeCell ref="D66:K66"/>
    <mergeCell ref="C85:K85"/>
    <mergeCell ref="C86:K86"/>
    <mergeCell ref="B88:B94"/>
    <mergeCell ref="C88:C89"/>
    <mergeCell ref="C93:K93"/>
    <mergeCell ref="C94:K94"/>
    <mergeCell ref="U95:V95"/>
    <mergeCell ref="B96:B101"/>
    <mergeCell ref="U98:V98"/>
    <mergeCell ref="A74:A115"/>
    <mergeCell ref="B74:B80"/>
    <mergeCell ref="C74:C75"/>
    <mergeCell ref="U99:V99"/>
    <mergeCell ref="C100:I100"/>
    <mergeCell ref="C101:K101"/>
    <mergeCell ref="U106:V106"/>
    <mergeCell ref="U107:V107"/>
    <mergeCell ref="C108:K108"/>
    <mergeCell ref="U108:V108"/>
    <mergeCell ref="C109:K109"/>
    <mergeCell ref="U102:V102"/>
    <mergeCell ref="B103:B109"/>
    <mergeCell ref="U103:V103"/>
    <mergeCell ref="C104:C105"/>
    <mergeCell ref="U104:V104"/>
    <mergeCell ref="U105:V105"/>
    <mergeCell ref="U110:V110"/>
    <mergeCell ref="L74:L118"/>
    <mergeCell ref="C79:K79"/>
    <mergeCell ref="C80:K80"/>
    <mergeCell ref="U81:V81"/>
    <mergeCell ref="B82:B86"/>
    <mergeCell ref="U84:V84"/>
    <mergeCell ref="U128:V128"/>
    <mergeCell ref="U116:V116"/>
    <mergeCell ref="A117:A121"/>
    <mergeCell ref="B117:B121"/>
    <mergeCell ref="U119:V119"/>
    <mergeCell ref="C120:K120"/>
    <mergeCell ref="C121:K121"/>
    <mergeCell ref="A139:A140"/>
    <mergeCell ref="J139:L139"/>
    <mergeCell ref="J140:L140"/>
    <mergeCell ref="A122:A123"/>
    <mergeCell ref="J122:L122"/>
    <mergeCell ref="J123:L123"/>
    <mergeCell ref="A124:A125"/>
    <mergeCell ref="D124:L125"/>
    <mergeCell ref="A141:A142"/>
    <mergeCell ref="D141:L142"/>
    <mergeCell ref="U145:V145"/>
    <mergeCell ref="C132:K132"/>
    <mergeCell ref="C133:K133"/>
    <mergeCell ref="A135:A138"/>
    <mergeCell ref="B135:B138"/>
    <mergeCell ref="C137:I137"/>
    <mergeCell ref="D138:I138"/>
    <mergeCell ref="A129:A133"/>
    <mergeCell ref="B129:B133"/>
    <mergeCell ref="L129:L136"/>
    <mergeCell ref="U129:V129"/>
    <mergeCell ref="U130:V130"/>
    <mergeCell ref="U131:V131"/>
    <mergeCell ref="A158:A159"/>
    <mergeCell ref="J158:L158"/>
    <mergeCell ref="J159:L159"/>
    <mergeCell ref="A160:A161"/>
    <mergeCell ref="D160:L161"/>
    <mergeCell ref="U164:V164"/>
    <mergeCell ref="U148:V148"/>
    <mergeCell ref="C149:K149"/>
    <mergeCell ref="C150:K150"/>
    <mergeCell ref="U151:V151"/>
    <mergeCell ref="A152:A157"/>
    <mergeCell ref="B152:B157"/>
    <mergeCell ref="U154:V154"/>
    <mergeCell ref="C156:K156"/>
    <mergeCell ref="C157:K157"/>
    <mergeCell ref="A146:A150"/>
    <mergeCell ref="B146:B150"/>
    <mergeCell ref="L146:L153"/>
    <mergeCell ref="U167:V167"/>
    <mergeCell ref="C168:K168"/>
    <mergeCell ref="C169:K169"/>
    <mergeCell ref="U170:V170"/>
    <mergeCell ref="B171:B175"/>
    <mergeCell ref="U173:V173"/>
    <mergeCell ref="C174:I174"/>
    <mergeCell ref="A182:A183"/>
    <mergeCell ref="J182:L182"/>
    <mergeCell ref="J183:L183"/>
    <mergeCell ref="A165:A175"/>
    <mergeCell ref="B165:B169"/>
    <mergeCell ref="L165:L178"/>
    <mergeCell ref="C175:I175"/>
    <mergeCell ref="A184:A185"/>
    <mergeCell ref="D184:L185"/>
    <mergeCell ref="U188:V188"/>
    <mergeCell ref="U176:V176"/>
    <mergeCell ref="A177:A181"/>
    <mergeCell ref="B177:B181"/>
    <mergeCell ref="U179:V179"/>
    <mergeCell ref="C180:K180"/>
    <mergeCell ref="C181:K181"/>
    <mergeCell ref="A189:A205"/>
    <mergeCell ref="B189:B193"/>
    <mergeCell ref="L189:L210"/>
    <mergeCell ref="C198:K198"/>
    <mergeCell ref="C199:K199"/>
    <mergeCell ref="U200:V200"/>
    <mergeCell ref="B201:B205"/>
    <mergeCell ref="U203:V203"/>
    <mergeCell ref="C204:K204"/>
    <mergeCell ref="C205:K205"/>
    <mergeCell ref="U191:V191"/>
    <mergeCell ref="C192:K192"/>
    <mergeCell ref="C193:K193"/>
    <mergeCell ref="U194:V194"/>
    <mergeCell ref="B195:B199"/>
    <mergeCell ref="A213:A214"/>
    <mergeCell ref="J213:L213"/>
    <mergeCell ref="J214:L214"/>
    <mergeCell ref="A215:A216"/>
    <mergeCell ref="D215:L216"/>
    <mergeCell ref="A207:A212"/>
    <mergeCell ref="B207:B212"/>
    <mergeCell ref="C207:C208"/>
    <mergeCell ref="C209:C210"/>
    <mergeCell ref="C211:K211"/>
    <mergeCell ref="C212:K212"/>
  </mergeCells>
  <pageMargins left="0.74803149606299213" right="0.74803149606299213" top="0.98425196850393704" bottom="0.98425196850393704" header="0.51181102362204722" footer="0.51181102362204722"/>
  <pageSetup paperSize="9" scale="66" fitToHeight="0" orientation="landscape" r:id="rId1"/>
  <headerFooter alignWithMargins="0">
    <oddFooter>&amp;LUpdated January 2011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2"/>
  <sheetViews>
    <sheetView workbookViewId="0">
      <selection sqref="A1:S1"/>
    </sheetView>
  </sheetViews>
  <sheetFormatPr defaultColWidth="10.77734375" defaultRowHeight="14.4" outlineLevelCol="1" x14ac:dyDescent="0.3"/>
  <cols>
    <col min="1" max="1" width="18.33203125" style="528" customWidth="1"/>
    <col min="2" max="2" width="8.77734375" style="528" customWidth="1"/>
    <col min="3" max="3" width="28" style="528" hidden="1" customWidth="1" outlineLevel="1"/>
    <col min="4" max="5" width="10.33203125" style="528" hidden="1" customWidth="1" outlineLevel="1"/>
    <col min="6" max="6" width="41.5546875" style="528" hidden="1" customWidth="1" outlineLevel="1"/>
    <col min="7" max="7" width="27.44140625" style="528" hidden="1" customWidth="1" outlineLevel="1"/>
    <col min="8" max="10" width="0" style="528" hidden="1" customWidth="1" outlineLevel="1"/>
    <col min="11" max="11" width="18" style="528" hidden="1" customWidth="1" outlineLevel="1"/>
    <col min="12" max="12" width="32" style="528" hidden="1" customWidth="1" outlineLevel="1"/>
    <col min="13" max="13" width="1.77734375" style="528" hidden="1" customWidth="1" outlineLevel="1"/>
    <col min="14" max="14" width="21.77734375" style="528" customWidth="1" collapsed="1"/>
    <col min="15" max="15" width="13" style="528" customWidth="1"/>
    <col min="16" max="18" width="10.6640625" style="528" customWidth="1"/>
    <col min="19" max="19" width="51" style="528" customWidth="1"/>
    <col min="20" max="16384" width="10.77734375" style="528"/>
  </cols>
  <sheetData>
    <row r="1" spans="1:19" ht="14.4" customHeight="1" x14ac:dyDescent="0.3">
      <c r="A1" s="715" t="s">
        <v>538</v>
      </c>
      <c r="B1" s="715"/>
      <c r="C1" s="715"/>
      <c r="D1" s="715"/>
      <c r="E1" s="715"/>
      <c r="F1" s="715"/>
      <c r="G1" s="715"/>
      <c r="H1" s="715"/>
      <c r="I1" s="715"/>
      <c r="J1" s="715"/>
      <c r="K1" s="715"/>
      <c r="L1" s="715"/>
      <c r="M1" s="715"/>
      <c r="N1" s="715"/>
      <c r="O1" s="715"/>
      <c r="P1" s="715"/>
      <c r="Q1" s="715"/>
      <c r="R1" s="715"/>
      <c r="S1" s="715"/>
    </row>
    <row r="2" spans="1:19" ht="52.8" x14ac:dyDescent="0.3">
      <c r="A2" s="551" t="s">
        <v>271</v>
      </c>
      <c r="B2" s="552" t="s">
        <v>272</v>
      </c>
      <c r="C2" s="551" t="s">
        <v>273</v>
      </c>
      <c r="D2" s="551" t="s">
        <v>274</v>
      </c>
      <c r="E2" s="551" t="s">
        <v>275</v>
      </c>
      <c r="F2" s="551" t="s">
        <v>276</v>
      </c>
      <c r="G2" s="551" t="s">
        <v>277</v>
      </c>
      <c r="H2" s="551" t="s">
        <v>278</v>
      </c>
      <c r="I2" s="551" t="s">
        <v>279</v>
      </c>
      <c r="J2" s="551" t="s">
        <v>280</v>
      </c>
      <c r="K2" s="551" t="s">
        <v>281</v>
      </c>
      <c r="L2" s="551" t="s">
        <v>282</v>
      </c>
      <c r="M2" s="553"/>
      <c r="N2" s="554" t="s">
        <v>539</v>
      </c>
      <c r="O2" s="554" t="s">
        <v>524</v>
      </c>
      <c r="P2" s="554" t="s">
        <v>525</v>
      </c>
      <c r="Q2" s="554" t="s">
        <v>526</v>
      </c>
      <c r="R2" s="554" t="s">
        <v>527</v>
      </c>
      <c r="S2" s="554" t="s">
        <v>528</v>
      </c>
    </row>
    <row r="3" spans="1:19" x14ac:dyDescent="0.3">
      <c r="A3" s="718" t="s">
        <v>3</v>
      </c>
      <c r="B3" s="718"/>
      <c r="C3" s="718"/>
      <c r="D3" s="718"/>
      <c r="E3" s="718"/>
      <c r="F3" s="718"/>
      <c r="G3" s="526"/>
      <c r="H3" s="526"/>
      <c r="I3" s="526"/>
      <c r="J3" s="540"/>
      <c r="K3" s="526"/>
      <c r="L3" s="536"/>
      <c r="M3" s="539"/>
      <c r="N3" s="526"/>
      <c r="O3" s="526"/>
      <c r="P3" s="526"/>
      <c r="Q3" s="526"/>
      <c r="R3" s="526"/>
      <c r="S3" s="555"/>
    </row>
    <row r="4" spans="1:19" ht="68.400000000000006" x14ac:dyDescent="0.3">
      <c r="A4" s="718" t="s">
        <v>12</v>
      </c>
      <c r="B4" s="556">
        <v>1</v>
      </c>
      <c r="C4" s="537" t="s">
        <v>13</v>
      </c>
      <c r="D4" s="557">
        <v>60.3</v>
      </c>
      <c r="E4" s="557">
        <v>60.3</v>
      </c>
      <c r="F4" s="541" t="s">
        <v>283</v>
      </c>
      <c r="G4" s="537" t="s">
        <v>13</v>
      </c>
      <c r="H4" s="541" t="s">
        <v>283</v>
      </c>
      <c r="I4" s="541">
        <v>60</v>
      </c>
      <c r="J4" s="526" t="s">
        <v>284</v>
      </c>
      <c r="K4" s="540" t="s">
        <v>284</v>
      </c>
      <c r="L4" s="540" t="s">
        <v>285</v>
      </c>
      <c r="M4" s="558"/>
      <c r="N4" s="537" t="s">
        <v>13</v>
      </c>
      <c r="O4" s="537" t="s">
        <v>283</v>
      </c>
      <c r="P4" s="537" t="s">
        <v>634</v>
      </c>
      <c r="Q4" s="526" t="s">
        <v>635</v>
      </c>
      <c r="R4" s="526" t="s">
        <v>635</v>
      </c>
      <c r="S4" s="526" t="s">
        <v>673</v>
      </c>
    </row>
    <row r="5" spans="1:19" ht="79.8" x14ac:dyDescent="0.3">
      <c r="A5" s="718"/>
      <c r="B5" s="556">
        <v>2</v>
      </c>
      <c r="C5" s="537" t="s">
        <v>19</v>
      </c>
      <c r="D5" s="559" t="s">
        <v>286</v>
      </c>
      <c r="E5" s="560">
        <v>0.34340000000000004</v>
      </c>
      <c r="F5" s="541" t="s">
        <v>287</v>
      </c>
      <c r="G5" s="537" t="s">
        <v>19</v>
      </c>
      <c r="H5" s="541" t="s">
        <v>283</v>
      </c>
      <c r="I5" s="561">
        <v>0.34300000000000003</v>
      </c>
      <c r="J5" s="540" t="s">
        <v>284</v>
      </c>
      <c r="K5" s="540" t="s">
        <v>284</v>
      </c>
      <c r="L5" s="540" t="s">
        <v>288</v>
      </c>
      <c r="M5" s="558"/>
      <c r="N5" s="537" t="s">
        <v>19</v>
      </c>
      <c r="O5" s="537" t="s">
        <v>283</v>
      </c>
      <c r="P5" s="538" t="s">
        <v>637</v>
      </c>
      <c r="Q5" s="526" t="s">
        <v>635</v>
      </c>
      <c r="R5" s="526" t="s">
        <v>635</v>
      </c>
      <c r="S5" s="526" t="s">
        <v>640</v>
      </c>
    </row>
    <row r="6" spans="1:19" x14ac:dyDescent="0.3">
      <c r="A6" s="718" t="s">
        <v>20</v>
      </c>
      <c r="B6" s="718"/>
      <c r="C6" s="718"/>
      <c r="D6" s="718"/>
      <c r="E6" s="718"/>
      <c r="F6" s="718"/>
      <c r="G6" s="526"/>
      <c r="H6" s="526"/>
      <c r="I6" s="526"/>
      <c r="J6" s="526"/>
      <c r="K6" s="526"/>
      <c r="L6" s="540"/>
      <c r="M6" s="558"/>
      <c r="N6" s="526"/>
      <c r="O6" s="526"/>
      <c r="P6" s="526"/>
      <c r="Q6" s="526"/>
      <c r="R6" s="526"/>
      <c r="S6" s="526"/>
    </row>
    <row r="7" spans="1:19" ht="78" customHeight="1" x14ac:dyDescent="0.3">
      <c r="A7" s="718" t="s">
        <v>23</v>
      </c>
      <c r="B7" s="556">
        <v>1</v>
      </c>
      <c r="C7" s="537" t="s">
        <v>24</v>
      </c>
      <c r="D7" s="562">
        <v>0.1</v>
      </c>
      <c r="E7" s="560">
        <v>0.12300000000000001</v>
      </c>
      <c r="F7" s="541" t="s">
        <v>289</v>
      </c>
      <c r="G7" s="537" t="s">
        <v>24</v>
      </c>
      <c r="H7" s="541" t="s">
        <v>283</v>
      </c>
      <c r="I7" s="561">
        <v>0.123</v>
      </c>
      <c r="J7" s="563">
        <v>0.1</v>
      </c>
      <c r="K7" s="563">
        <v>0.1</v>
      </c>
      <c r="L7" s="540" t="s">
        <v>290</v>
      </c>
      <c r="M7" s="558"/>
      <c r="N7" s="537" t="s">
        <v>24</v>
      </c>
      <c r="O7" s="537" t="s">
        <v>283</v>
      </c>
      <c r="P7" s="538" t="s">
        <v>636</v>
      </c>
      <c r="Q7" s="526" t="s">
        <v>635</v>
      </c>
      <c r="R7" s="526" t="s">
        <v>635</v>
      </c>
      <c r="S7" s="526" t="s">
        <v>640</v>
      </c>
    </row>
    <row r="8" spans="1:19" ht="57.6" customHeight="1" x14ac:dyDescent="0.3">
      <c r="A8" s="718"/>
      <c r="B8" s="556">
        <v>2</v>
      </c>
      <c r="C8" s="537" t="s">
        <v>29</v>
      </c>
      <c r="D8" s="564">
        <v>755150.84995534713</v>
      </c>
      <c r="E8" s="564">
        <v>755150.84995534713</v>
      </c>
      <c r="F8" s="541" t="s">
        <v>291</v>
      </c>
      <c r="G8" s="537" t="s">
        <v>29</v>
      </c>
      <c r="H8" s="541" t="s">
        <v>283</v>
      </c>
      <c r="I8" s="565">
        <v>196214</v>
      </c>
      <c r="J8" s="540" t="s">
        <v>284</v>
      </c>
      <c r="K8" s="566">
        <v>857118</v>
      </c>
      <c r="L8" s="540" t="s">
        <v>292</v>
      </c>
      <c r="M8" s="558"/>
      <c r="N8" s="537" t="s">
        <v>29</v>
      </c>
      <c r="O8" s="537" t="s">
        <v>283</v>
      </c>
      <c r="P8" s="567"/>
      <c r="Q8" s="568">
        <f>'Tab A (Logframe)'!J30</f>
        <v>294111.23444800003</v>
      </c>
      <c r="R8" s="568">
        <f>'Tab A (Logframe)'!K30</f>
        <v>1238980.7844479999</v>
      </c>
      <c r="S8" s="569" t="s">
        <v>638</v>
      </c>
    </row>
    <row r="9" spans="1:19" ht="57.6" customHeight="1" x14ac:dyDescent="0.3">
      <c r="A9" s="718"/>
      <c r="B9" s="556">
        <v>3</v>
      </c>
      <c r="C9" s="537" t="s">
        <v>35</v>
      </c>
      <c r="D9" s="564">
        <v>1538920.7554383466</v>
      </c>
      <c r="E9" s="564">
        <v>1505900.7813269901</v>
      </c>
      <c r="F9" s="541" t="s">
        <v>293</v>
      </c>
      <c r="G9" s="537" t="s">
        <v>35</v>
      </c>
      <c r="H9" s="541" t="s">
        <v>283</v>
      </c>
      <c r="I9" s="565" t="s">
        <v>294</v>
      </c>
      <c r="J9" s="565" t="s">
        <v>295</v>
      </c>
      <c r="K9" s="566" t="e">
        <v>#REF!</v>
      </c>
      <c r="L9" s="540" t="s">
        <v>296</v>
      </c>
      <c r="M9" s="558"/>
      <c r="N9" s="537" t="s">
        <v>540</v>
      </c>
      <c r="O9" s="537" t="s">
        <v>283</v>
      </c>
      <c r="P9" s="567"/>
      <c r="Q9" s="568">
        <f>'Tab A (Logframe)'!J36</f>
        <v>352143.8</v>
      </c>
      <c r="R9" s="568">
        <f>'Tab A (Logframe)'!K36</f>
        <v>1822714.8</v>
      </c>
      <c r="S9" s="569" t="s">
        <v>536</v>
      </c>
    </row>
    <row r="10" spans="1:19" ht="57.6" customHeight="1" x14ac:dyDescent="0.3">
      <c r="A10" s="718"/>
      <c r="B10" s="556">
        <v>4</v>
      </c>
      <c r="C10" s="537" t="s">
        <v>39</v>
      </c>
      <c r="D10" s="564">
        <v>6462.5508385469448</v>
      </c>
      <c r="E10" s="564">
        <v>5859.0221923380504</v>
      </c>
      <c r="F10" s="541" t="s">
        <v>297</v>
      </c>
      <c r="G10" s="537" t="s">
        <v>39</v>
      </c>
      <c r="H10" s="541" t="s">
        <v>283</v>
      </c>
      <c r="I10" s="541">
        <v>1982</v>
      </c>
      <c r="J10" s="565">
        <v>850</v>
      </c>
      <c r="K10" s="566" t="e">
        <v>#REF!</v>
      </c>
      <c r="L10" s="540" t="s">
        <v>298</v>
      </c>
      <c r="M10" s="558"/>
      <c r="N10" s="537" t="s">
        <v>39</v>
      </c>
      <c r="O10" s="537" t="s">
        <v>283</v>
      </c>
      <c r="P10" s="537"/>
      <c r="Q10" s="568">
        <f>'Tab A (Logframe)'!J44</f>
        <v>862</v>
      </c>
      <c r="R10" s="568">
        <f>'Tab A (Logframe)'!K44</f>
        <v>3694</v>
      </c>
      <c r="S10" s="569" t="s">
        <v>604</v>
      </c>
    </row>
    <row r="11" spans="1:19" ht="63" customHeight="1" x14ac:dyDescent="0.3">
      <c r="A11" s="718"/>
      <c r="B11" s="556">
        <v>5</v>
      </c>
      <c r="C11" s="537" t="s">
        <v>41</v>
      </c>
      <c r="D11" s="564">
        <v>1414377.4304905976</v>
      </c>
      <c r="E11" s="564">
        <v>1429831.62831134</v>
      </c>
      <c r="F11" s="541" t="s">
        <v>299</v>
      </c>
      <c r="G11" s="537" t="s">
        <v>41</v>
      </c>
      <c r="H11" s="541" t="s">
        <v>283</v>
      </c>
      <c r="I11" s="541" t="s">
        <v>300</v>
      </c>
      <c r="J11" s="565" t="s">
        <v>301</v>
      </c>
      <c r="K11" s="566">
        <v>1414964</v>
      </c>
      <c r="L11" s="540" t="s">
        <v>302</v>
      </c>
      <c r="M11" s="558"/>
      <c r="N11" s="537" t="s">
        <v>41</v>
      </c>
      <c r="O11" s="537" t="s">
        <v>283</v>
      </c>
      <c r="P11" s="537"/>
      <c r="Q11" s="568">
        <f>'Tab A (Logframe)'!J50</f>
        <v>313925.21999999997</v>
      </c>
      <c r="R11" s="568">
        <f>'Tab A (Logframe)'!K50</f>
        <v>1740609.22</v>
      </c>
      <c r="S11" s="569" t="s">
        <v>536</v>
      </c>
    </row>
    <row r="12" spans="1:19" ht="63" customHeight="1" x14ac:dyDescent="0.3">
      <c r="A12" s="718"/>
      <c r="B12" s="556">
        <v>6</v>
      </c>
      <c r="C12" s="537" t="s">
        <v>43</v>
      </c>
      <c r="D12" s="564">
        <v>22075319.378890656</v>
      </c>
      <c r="E12" s="564">
        <v>22032929.5280407</v>
      </c>
      <c r="F12" s="541" t="s">
        <v>303</v>
      </c>
      <c r="G12" s="537" t="s">
        <v>43</v>
      </c>
      <c r="H12" s="541" t="s">
        <v>283</v>
      </c>
      <c r="I12" s="541" t="s">
        <v>304</v>
      </c>
      <c r="J12" s="565" t="s">
        <v>305</v>
      </c>
      <c r="K12" s="566" t="e">
        <v>#REF!</v>
      </c>
      <c r="L12" s="540" t="s">
        <v>306</v>
      </c>
      <c r="M12" s="558"/>
      <c r="N12" s="537" t="s">
        <v>43</v>
      </c>
      <c r="O12" s="537" t="s">
        <v>283</v>
      </c>
      <c r="P12" s="537"/>
      <c r="Q12" s="568">
        <f>'Tab A (Logframe)'!J58</f>
        <v>5263024.8000000007</v>
      </c>
      <c r="R12" s="568">
        <f>'Tab A (Logframe)'!K58</f>
        <v>25631138.760000002</v>
      </c>
      <c r="S12" s="569" t="s">
        <v>536</v>
      </c>
    </row>
    <row r="13" spans="1:19" x14ac:dyDescent="0.3">
      <c r="A13" s="718" t="s">
        <v>55</v>
      </c>
      <c r="B13" s="718"/>
      <c r="C13" s="718"/>
      <c r="D13" s="718"/>
      <c r="E13" s="718"/>
      <c r="F13" s="718"/>
      <c r="G13" s="526"/>
      <c r="H13" s="526"/>
      <c r="I13" s="526"/>
      <c r="J13" s="526"/>
      <c r="K13" s="569"/>
      <c r="L13" s="536"/>
      <c r="M13" s="539"/>
      <c r="N13" s="526"/>
      <c r="O13" s="526"/>
      <c r="P13" s="526"/>
      <c r="Q13" s="526"/>
      <c r="R13" s="569"/>
      <c r="S13" s="555"/>
    </row>
    <row r="14" spans="1:19" ht="66.599999999999994" customHeight="1" x14ac:dyDescent="0.3">
      <c r="A14" s="718" t="s">
        <v>57</v>
      </c>
      <c r="B14" s="556">
        <v>1.1000000000000001</v>
      </c>
      <c r="C14" s="537" t="s">
        <v>58</v>
      </c>
      <c r="D14" s="564">
        <v>1275617.2309030299</v>
      </c>
      <c r="E14" s="564">
        <v>1223143.5025140301</v>
      </c>
      <c r="F14" s="541" t="s">
        <v>307</v>
      </c>
      <c r="G14" s="537" t="s">
        <v>58</v>
      </c>
      <c r="H14" s="541" t="s">
        <v>283</v>
      </c>
      <c r="I14" s="541" t="s">
        <v>308</v>
      </c>
      <c r="J14" s="541" t="s">
        <v>309</v>
      </c>
      <c r="K14" s="566" t="e">
        <v>#REF!</v>
      </c>
      <c r="L14" s="540" t="s">
        <v>310</v>
      </c>
      <c r="M14" s="558"/>
      <c r="N14" s="537" t="s">
        <v>58</v>
      </c>
      <c r="O14" s="537" t="s">
        <v>283</v>
      </c>
      <c r="P14" s="537"/>
      <c r="Q14" s="568">
        <f>'Tab A (Logframe)'!J74</f>
        <v>325350.25</v>
      </c>
      <c r="R14" s="568">
        <f>'Tab A (Logframe)'!K74</f>
        <v>1593382.25</v>
      </c>
      <c r="S14" s="569" t="s">
        <v>536</v>
      </c>
    </row>
    <row r="15" spans="1:19" ht="66.599999999999994" customHeight="1" x14ac:dyDescent="0.3">
      <c r="A15" s="718"/>
      <c r="B15" s="556">
        <v>1.2</v>
      </c>
      <c r="C15" s="537" t="s">
        <v>311</v>
      </c>
      <c r="D15" s="570">
        <v>1100878.7288919841</v>
      </c>
      <c r="E15" s="570">
        <v>1052704.1681681301</v>
      </c>
      <c r="F15" s="541" t="s">
        <v>312</v>
      </c>
      <c r="G15" s="541" t="s">
        <v>61</v>
      </c>
      <c r="H15" s="541" t="s">
        <v>313</v>
      </c>
      <c r="I15" s="565">
        <v>350762</v>
      </c>
      <c r="J15" s="565">
        <v>259186</v>
      </c>
      <c r="K15" s="566" t="e">
        <v>#REF!</v>
      </c>
      <c r="L15" s="540" t="s">
        <v>314</v>
      </c>
      <c r="M15" s="558"/>
      <c r="N15" s="537" t="s">
        <v>61</v>
      </c>
      <c r="O15" s="537" t="s">
        <v>283</v>
      </c>
      <c r="P15" s="567"/>
      <c r="Q15" s="568">
        <f>'Tab A (Logframe)'!J82</f>
        <v>318033</v>
      </c>
      <c r="R15" s="568">
        <f>'Tab A (Logframe)'!K82</f>
        <v>1395068</v>
      </c>
      <c r="S15" s="569" t="s">
        <v>536</v>
      </c>
    </row>
    <row r="16" spans="1:19" ht="66.599999999999994" customHeight="1" x14ac:dyDescent="0.3">
      <c r="A16" s="718"/>
      <c r="B16" s="556">
        <v>1.3</v>
      </c>
      <c r="C16" s="537" t="s">
        <v>64</v>
      </c>
      <c r="D16" s="564">
        <v>843670.16654911928</v>
      </c>
      <c r="E16" s="564">
        <v>901479.79421498894</v>
      </c>
      <c r="F16" s="541" t="s">
        <v>315</v>
      </c>
      <c r="G16" s="537" t="s">
        <v>64</v>
      </c>
      <c r="H16" s="541" t="s">
        <v>283</v>
      </c>
      <c r="I16" s="541" t="s">
        <v>316</v>
      </c>
      <c r="J16" s="541" t="s">
        <v>317</v>
      </c>
      <c r="K16" s="566" t="e">
        <v>#REF!</v>
      </c>
      <c r="L16" s="540" t="s">
        <v>318</v>
      </c>
      <c r="M16" s="558"/>
      <c r="N16" s="537" t="s">
        <v>64</v>
      </c>
      <c r="O16" s="537" t="s">
        <v>283</v>
      </c>
      <c r="P16" s="537"/>
      <c r="Q16" s="568">
        <f>'Tab A (Logframe)'!J88</f>
        <v>204580.19999999998</v>
      </c>
      <c r="R16" s="568">
        <f>'Tab A (Logframe)'!K88</f>
        <v>958775.2</v>
      </c>
      <c r="S16" s="569" t="s">
        <v>536</v>
      </c>
    </row>
    <row r="17" spans="1:19" ht="66.599999999999994" customHeight="1" x14ac:dyDescent="0.3">
      <c r="A17" s="718"/>
      <c r="B17" s="556">
        <v>1.4</v>
      </c>
      <c r="C17" s="537" t="s">
        <v>66</v>
      </c>
      <c r="D17" s="564">
        <v>907522.41541365627</v>
      </c>
      <c r="E17" s="564">
        <v>1182816.0201689</v>
      </c>
      <c r="F17" s="571" t="s">
        <v>319</v>
      </c>
      <c r="G17" s="537" t="s">
        <v>66</v>
      </c>
      <c r="H17" s="571" t="s">
        <v>283</v>
      </c>
      <c r="I17" s="571">
        <v>396362</v>
      </c>
      <c r="J17" s="571">
        <v>359698</v>
      </c>
      <c r="K17" s="572" t="e">
        <v>#REF!</v>
      </c>
      <c r="L17" s="540" t="s">
        <v>320</v>
      </c>
      <c r="M17" s="558"/>
      <c r="N17" s="537" t="s">
        <v>66</v>
      </c>
      <c r="O17" s="537" t="s">
        <v>283</v>
      </c>
      <c r="P17" s="573"/>
      <c r="Q17" s="568">
        <f>'Tab A (Logframe)'!J96</f>
        <v>341617.55000000005</v>
      </c>
      <c r="R17" s="568">
        <f>'Tab A (Logframe)'!K96</f>
        <v>1661641.2520000001</v>
      </c>
      <c r="S17" s="569" t="s">
        <v>639</v>
      </c>
    </row>
    <row r="18" spans="1:19" s="550" customFormat="1" ht="61.2" customHeight="1" x14ac:dyDescent="0.3">
      <c r="A18" s="718"/>
      <c r="B18" s="556">
        <v>1.5</v>
      </c>
      <c r="C18" s="556" t="s">
        <v>321</v>
      </c>
      <c r="D18" s="556">
        <v>224</v>
      </c>
      <c r="E18" s="574">
        <v>208</v>
      </c>
      <c r="F18" s="531" t="s">
        <v>322</v>
      </c>
      <c r="G18" s="531" t="s">
        <v>68</v>
      </c>
      <c r="H18" s="531" t="s">
        <v>323</v>
      </c>
      <c r="I18" s="531">
        <v>208</v>
      </c>
      <c r="J18" s="531">
        <v>167</v>
      </c>
      <c r="K18" s="575">
        <v>167</v>
      </c>
      <c r="L18" s="531" t="s">
        <v>324</v>
      </c>
      <c r="M18" s="576"/>
      <c r="N18" s="556" t="s">
        <v>68</v>
      </c>
      <c r="O18" s="556" t="s">
        <v>283</v>
      </c>
      <c r="P18" s="556"/>
      <c r="Q18" s="568">
        <f>'Tab A (Logframe)'!J103</f>
        <v>156.80000000000001</v>
      </c>
      <c r="R18" s="568">
        <v>157</v>
      </c>
      <c r="S18" s="577" t="s">
        <v>537</v>
      </c>
    </row>
    <row r="19" spans="1:19" ht="63" customHeight="1" x14ac:dyDescent="0.3">
      <c r="A19" s="718"/>
      <c r="B19" s="556">
        <v>1.6</v>
      </c>
      <c r="C19" s="537" t="s">
        <v>325</v>
      </c>
      <c r="D19" s="564">
        <v>374400</v>
      </c>
      <c r="E19" s="564">
        <v>374400</v>
      </c>
      <c r="F19" s="541" t="s">
        <v>326</v>
      </c>
      <c r="G19" s="537" t="s">
        <v>325</v>
      </c>
      <c r="H19" s="541" t="s">
        <v>284</v>
      </c>
      <c r="I19" s="565">
        <v>374400</v>
      </c>
      <c r="J19" s="565">
        <v>220000</v>
      </c>
      <c r="K19" s="566">
        <v>220000</v>
      </c>
      <c r="L19" s="540" t="s">
        <v>327</v>
      </c>
      <c r="M19" s="558"/>
      <c r="N19" s="537" t="s">
        <v>325</v>
      </c>
      <c r="O19" s="537" t="s">
        <v>283</v>
      </c>
      <c r="P19" s="567"/>
      <c r="Q19" s="568">
        <f>'Tab A (Logframe)'!J111</f>
        <v>270000</v>
      </c>
      <c r="R19" s="568">
        <f>'Tab A (Logframe)'!K111</f>
        <v>270000</v>
      </c>
      <c r="S19" s="569" t="s">
        <v>529</v>
      </c>
    </row>
    <row r="20" spans="1:19" ht="61.2" customHeight="1" x14ac:dyDescent="0.3">
      <c r="A20" s="718"/>
      <c r="B20" s="556">
        <v>1.7</v>
      </c>
      <c r="C20" s="537" t="s">
        <v>78</v>
      </c>
      <c r="D20" s="564">
        <v>374400</v>
      </c>
      <c r="E20" s="564">
        <v>374400</v>
      </c>
      <c r="F20" s="541" t="s">
        <v>328</v>
      </c>
      <c r="G20" s="537" t="s">
        <v>78</v>
      </c>
      <c r="H20" s="541" t="s">
        <v>283</v>
      </c>
      <c r="I20" s="565">
        <v>374400</v>
      </c>
      <c r="J20" s="565">
        <v>216000</v>
      </c>
      <c r="K20" s="566">
        <v>216000</v>
      </c>
      <c r="L20" s="540" t="s">
        <v>329</v>
      </c>
      <c r="M20" s="558"/>
      <c r="N20" s="537" t="s">
        <v>78</v>
      </c>
      <c r="O20" s="537" t="s">
        <v>283</v>
      </c>
      <c r="P20" s="567"/>
      <c r="Q20" s="568">
        <f>'Tab A (Logframe)'!J117</f>
        <v>250000</v>
      </c>
      <c r="R20" s="568">
        <f>'Tab A (Logframe)'!K117</f>
        <v>250000</v>
      </c>
      <c r="S20" s="569" t="s">
        <v>529</v>
      </c>
    </row>
    <row r="21" spans="1:19" x14ac:dyDescent="0.3">
      <c r="A21" s="718" t="s">
        <v>81</v>
      </c>
      <c r="B21" s="718"/>
      <c r="C21" s="718"/>
      <c r="D21" s="718"/>
      <c r="E21" s="718"/>
      <c r="F21" s="718"/>
      <c r="G21" s="526"/>
      <c r="H21" s="526"/>
      <c r="I21" s="526"/>
      <c r="J21" s="526"/>
      <c r="K21" s="569"/>
      <c r="L21" s="540"/>
      <c r="M21" s="558"/>
      <c r="N21" s="526"/>
      <c r="O21" s="526"/>
      <c r="P21" s="526"/>
      <c r="Q21" s="526"/>
      <c r="R21" s="569"/>
      <c r="S21" s="526"/>
    </row>
    <row r="22" spans="1:19" ht="123.6" customHeight="1" x14ac:dyDescent="0.3">
      <c r="A22" s="526" t="s">
        <v>83</v>
      </c>
      <c r="B22" s="556">
        <v>2.1</v>
      </c>
      <c r="C22" s="537" t="s">
        <v>330</v>
      </c>
      <c r="D22" s="559" t="s">
        <v>286</v>
      </c>
      <c r="E22" s="557">
        <v>41.65</v>
      </c>
      <c r="F22" s="541" t="s">
        <v>287</v>
      </c>
      <c r="G22" s="541" t="s">
        <v>84</v>
      </c>
      <c r="H22" s="541" t="s">
        <v>331</v>
      </c>
      <c r="I22" s="540"/>
      <c r="J22" s="541">
        <v>4</v>
      </c>
      <c r="K22" s="578">
        <v>4</v>
      </c>
      <c r="L22" s="540" t="s">
        <v>332</v>
      </c>
      <c r="M22" s="558"/>
      <c r="N22" s="537" t="s">
        <v>84</v>
      </c>
      <c r="O22" s="537" t="s">
        <v>283</v>
      </c>
      <c r="P22" s="526"/>
      <c r="Q22" s="579">
        <f>'Tab A (Logframe)'!J129</f>
        <v>4</v>
      </c>
      <c r="R22" s="579">
        <f>'Tab A (Logframe)'!K129</f>
        <v>4</v>
      </c>
      <c r="S22" s="569" t="s">
        <v>531</v>
      </c>
    </row>
    <row r="23" spans="1:19" x14ac:dyDescent="0.3">
      <c r="A23" s="718" t="s">
        <v>87</v>
      </c>
      <c r="B23" s="718"/>
      <c r="C23" s="718"/>
      <c r="D23" s="718"/>
      <c r="E23" s="718"/>
      <c r="F23" s="718"/>
      <c r="G23" s="526"/>
      <c r="H23" s="526"/>
      <c r="I23" s="540"/>
      <c r="J23" s="580"/>
      <c r="K23" s="580"/>
      <c r="L23" s="540"/>
      <c r="M23" s="558"/>
      <c r="N23" s="526"/>
      <c r="O23" s="526"/>
      <c r="P23" s="526"/>
      <c r="Q23" s="581"/>
      <c r="R23" s="581"/>
      <c r="S23" s="526"/>
    </row>
    <row r="24" spans="1:19" ht="132" x14ac:dyDescent="0.3">
      <c r="A24" s="718" t="s">
        <v>89</v>
      </c>
      <c r="B24" s="556">
        <v>3.1</v>
      </c>
      <c r="C24" s="537" t="s">
        <v>333</v>
      </c>
      <c r="D24" s="559" t="s">
        <v>286</v>
      </c>
      <c r="E24" s="570">
        <v>1755.6</v>
      </c>
      <c r="F24" s="541" t="s">
        <v>287</v>
      </c>
      <c r="G24" s="541" t="s">
        <v>90</v>
      </c>
      <c r="H24" s="578" t="s">
        <v>334</v>
      </c>
      <c r="I24" s="566">
        <v>1756</v>
      </c>
      <c r="J24" s="566" t="s">
        <v>284</v>
      </c>
      <c r="K24" s="566" t="s">
        <v>284</v>
      </c>
      <c r="L24" s="582" t="s">
        <v>335</v>
      </c>
      <c r="M24" s="558"/>
      <c r="N24" s="537" t="s">
        <v>90</v>
      </c>
      <c r="O24" s="537" t="s">
        <v>283</v>
      </c>
      <c r="P24" s="583"/>
      <c r="Q24" s="584">
        <f>'Tab A (Logframe)'!J146</f>
        <v>1703.52</v>
      </c>
      <c r="R24" s="584">
        <f>'Tab A (Logframe)'!K146</f>
        <v>1703.52</v>
      </c>
      <c r="S24" s="569" t="s">
        <v>537</v>
      </c>
    </row>
    <row r="25" spans="1:19" ht="45.6" x14ac:dyDescent="0.3">
      <c r="A25" s="719"/>
      <c r="B25" s="556">
        <v>3.2</v>
      </c>
      <c r="C25" s="537" t="s">
        <v>93</v>
      </c>
      <c r="D25" s="585" t="s">
        <v>286</v>
      </c>
      <c r="E25" s="586">
        <v>31</v>
      </c>
      <c r="F25" s="578"/>
      <c r="G25" s="537" t="s">
        <v>93</v>
      </c>
      <c r="H25" s="578" t="s">
        <v>284</v>
      </c>
      <c r="I25" s="541">
        <v>31</v>
      </c>
      <c r="J25" s="587" t="s">
        <v>284</v>
      </c>
      <c r="K25" s="587" t="s">
        <v>284</v>
      </c>
      <c r="L25" s="540" t="s">
        <v>284</v>
      </c>
      <c r="M25" s="558"/>
      <c r="N25" s="537" t="s">
        <v>270</v>
      </c>
      <c r="O25" s="537" t="s">
        <v>283</v>
      </c>
      <c r="P25" s="537"/>
      <c r="Q25" s="557">
        <f>'Tab A (Logframe)'!J152</f>
        <v>35.699999999999996</v>
      </c>
      <c r="R25" s="557">
        <f>'Tab A (Logframe)'!K152</f>
        <v>35.699999999999996</v>
      </c>
      <c r="S25" s="569" t="s">
        <v>537</v>
      </c>
    </row>
    <row r="26" spans="1:19" x14ac:dyDescent="0.3">
      <c r="A26" s="718" t="s">
        <v>95</v>
      </c>
      <c r="B26" s="718"/>
      <c r="C26" s="718"/>
      <c r="D26" s="718"/>
      <c r="E26" s="718"/>
      <c r="F26" s="718"/>
      <c r="G26" s="526"/>
      <c r="H26" s="526"/>
      <c r="I26" s="540"/>
      <c r="J26" s="580"/>
      <c r="K26" s="580"/>
      <c r="L26" s="540"/>
      <c r="M26" s="558"/>
      <c r="N26" s="526"/>
      <c r="O26" s="526"/>
      <c r="P26" s="526"/>
      <c r="Q26" s="581"/>
      <c r="R26" s="581"/>
      <c r="S26" s="526"/>
    </row>
    <row r="27" spans="1:19" ht="90.6" customHeight="1" x14ac:dyDescent="0.3">
      <c r="A27" s="718" t="s">
        <v>97</v>
      </c>
      <c r="B27" s="556">
        <v>4.0999999999999996</v>
      </c>
      <c r="C27" s="537" t="s">
        <v>98</v>
      </c>
      <c r="D27" s="557">
        <v>716.80000000000007</v>
      </c>
      <c r="E27" s="557">
        <v>746.3</v>
      </c>
      <c r="F27" s="541" t="s">
        <v>336</v>
      </c>
      <c r="G27" s="541" t="s">
        <v>337</v>
      </c>
      <c r="H27" s="582" t="s">
        <v>338</v>
      </c>
      <c r="I27" s="541">
        <v>746</v>
      </c>
      <c r="J27" s="541">
        <v>730</v>
      </c>
      <c r="K27" s="541">
        <v>730</v>
      </c>
      <c r="L27" s="582" t="s">
        <v>339</v>
      </c>
      <c r="M27" s="558"/>
      <c r="N27" s="537" t="s">
        <v>337</v>
      </c>
      <c r="O27" s="537" t="s">
        <v>283</v>
      </c>
      <c r="P27" s="537"/>
      <c r="Q27" s="557">
        <f>'Tab A (Logframe)'!J165</f>
        <v>846.93999999999994</v>
      </c>
      <c r="R27" s="557">
        <f>'Tab A (Logframe)'!K165</f>
        <v>846.93999999999994</v>
      </c>
      <c r="S27" s="569" t="s">
        <v>537</v>
      </c>
    </row>
    <row r="28" spans="1:19" ht="85.2" customHeight="1" x14ac:dyDescent="0.3">
      <c r="A28" s="718"/>
      <c r="B28" s="556">
        <v>4.2</v>
      </c>
      <c r="C28" s="537" t="s">
        <v>340</v>
      </c>
      <c r="D28" s="559" t="s">
        <v>286</v>
      </c>
      <c r="E28" s="557">
        <v>790.2</v>
      </c>
      <c r="F28" s="541" t="s">
        <v>287</v>
      </c>
      <c r="G28" s="537" t="s">
        <v>340</v>
      </c>
      <c r="H28" s="541" t="s">
        <v>284</v>
      </c>
      <c r="I28" s="541">
        <v>790</v>
      </c>
      <c r="J28" s="587" t="s">
        <v>284</v>
      </c>
      <c r="K28" s="587" t="s">
        <v>284</v>
      </c>
      <c r="L28" s="540" t="s">
        <v>341</v>
      </c>
      <c r="M28" s="558"/>
      <c r="N28" s="537" t="s">
        <v>218</v>
      </c>
      <c r="O28" s="577" t="s">
        <v>541</v>
      </c>
      <c r="P28" s="537"/>
      <c r="Q28" s="557">
        <f>'Tab A (Logframe)'!J171</f>
        <v>856.52</v>
      </c>
      <c r="R28" s="557">
        <f>'Tab A (Logframe)'!K171</f>
        <v>856.52</v>
      </c>
      <c r="S28" s="569" t="s">
        <v>537</v>
      </c>
    </row>
    <row r="29" spans="1:19" ht="68.400000000000006" x14ac:dyDescent="0.3">
      <c r="A29" s="718"/>
      <c r="B29" s="556">
        <v>4.3</v>
      </c>
      <c r="C29" s="537" t="s">
        <v>102</v>
      </c>
      <c r="D29" s="579">
        <v>416</v>
      </c>
      <c r="E29" s="579">
        <v>416</v>
      </c>
      <c r="F29" s="541" t="s">
        <v>283</v>
      </c>
      <c r="G29" s="537" t="s">
        <v>102</v>
      </c>
      <c r="H29" s="541" t="s">
        <v>284</v>
      </c>
      <c r="I29" s="541">
        <v>416</v>
      </c>
      <c r="J29" s="587">
        <v>265</v>
      </c>
      <c r="K29" s="587">
        <v>265</v>
      </c>
      <c r="L29" s="540" t="s">
        <v>342</v>
      </c>
      <c r="M29" s="558"/>
      <c r="N29" s="537" t="s">
        <v>102</v>
      </c>
      <c r="O29" s="537" t="s">
        <v>283</v>
      </c>
      <c r="P29" s="537"/>
      <c r="Q29" s="557">
        <f>'Tab A (Logframe)'!J177</f>
        <v>300</v>
      </c>
      <c r="R29" s="557">
        <f>'Tab A (Logframe)'!K177</f>
        <v>300</v>
      </c>
      <c r="S29" s="569" t="s">
        <v>530</v>
      </c>
    </row>
    <row r="30" spans="1:19" x14ac:dyDescent="0.3">
      <c r="A30" s="718" t="s">
        <v>103</v>
      </c>
      <c r="B30" s="718"/>
      <c r="C30" s="718"/>
      <c r="D30" s="718"/>
      <c r="E30" s="718"/>
      <c r="F30" s="718"/>
      <c r="G30" s="526"/>
      <c r="H30" s="526"/>
      <c r="I30" s="540"/>
      <c r="J30" s="580"/>
      <c r="K30" s="580"/>
      <c r="L30" s="540"/>
      <c r="M30" s="558"/>
      <c r="N30" s="526"/>
      <c r="O30" s="526"/>
      <c r="P30" s="526"/>
      <c r="Q30" s="581"/>
      <c r="R30" s="581"/>
      <c r="S30" s="526"/>
    </row>
    <row r="31" spans="1:19" ht="72.599999999999994" customHeight="1" x14ac:dyDescent="0.3">
      <c r="A31" s="718" t="s">
        <v>105</v>
      </c>
      <c r="B31" s="556">
        <v>5.0999999999999996</v>
      </c>
      <c r="C31" s="537" t="s">
        <v>106</v>
      </c>
      <c r="D31" s="559" t="s">
        <v>286</v>
      </c>
      <c r="E31" s="579">
        <v>502</v>
      </c>
      <c r="F31" s="541" t="s">
        <v>287</v>
      </c>
      <c r="G31" s="537" t="s">
        <v>106</v>
      </c>
      <c r="H31" s="541" t="s">
        <v>283</v>
      </c>
      <c r="I31" s="541">
        <v>502</v>
      </c>
      <c r="J31" s="587">
        <v>240</v>
      </c>
      <c r="K31" s="587">
        <v>240</v>
      </c>
      <c r="L31" s="540" t="s">
        <v>342</v>
      </c>
      <c r="M31" s="558"/>
      <c r="N31" s="537" t="s">
        <v>106</v>
      </c>
      <c r="O31" s="537" t="s">
        <v>283</v>
      </c>
      <c r="P31" s="537"/>
      <c r="Q31" s="557">
        <f>'Tab A (Logframe)'!J189</f>
        <v>284</v>
      </c>
      <c r="R31" s="557">
        <f>'Tab A (Logframe)'!K189</f>
        <v>284</v>
      </c>
      <c r="S31" s="569" t="s">
        <v>532</v>
      </c>
    </row>
    <row r="32" spans="1:19" ht="123.6" customHeight="1" x14ac:dyDescent="0.3">
      <c r="A32" s="718"/>
      <c r="B32" s="556">
        <v>5.2</v>
      </c>
      <c r="C32" s="537" t="s">
        <v>343</v>
      </c>
      <c r="D32" s="559" t="s">
        <v>286</v>
      </c>
      <c r="E32" s="557">
        <v>551</v>
      </c>
      <c r="F32" s="541" t="s">
        <v>344</v>
      </c>
      <c r="G32" s="537" t="s">
        <v>343</v>
      </c>
      <c r="H32" s="541" t="s">
        <v>283</v>
      </c>
      <c r="I32" s="541">
        <v>551</v>
      </c>
      <c r="J32" s="541">
        <v>510</v>
      </c>
      <c r="K32" s="541">
        <v>510</v>
      </c>
      <c r="L32" s="582" t="s">
        <v>345</v>
      </c>
      <c r="M32" s="558"/>
      <c r="N32" s="537" t="s">
        <v>116</v>
      </c>
      <c r="O32" s="577" t="s">
        <v>535</v>
      </c>
      <c r="P32" s="537"/>
      <c r="Q32" s="557">
        <f>'Tab A (Logframe)'!J195</f>
        <v>531</v>
      </c>
      <c r="R32" s="557">
        <f>'Tab A (Logframe)'!K195</f>
        <v>531</v>
      </c>
      <c r="S32" s="569" t="s">
        <v>533</v>
      </c>
    </row>
    <row r="33" spans="1:19" ht="125.4" customHeight="1" x14ac:dyDescent="0.3">
      <c r="A33" s="718"/>
      <c r="B33" s="556">
        <v>5.3</v>
      </c>
      <c r="C33" s="537" t="s">
        <v>346</v>
      </c>
      <c r="D33" s="559" t="s">
        <v>286</v>
      </c>
      <c r="E33" s="557">
        <v>746.40000000000009</v>
      </c>
      <c r="F33" s="541" t="s">
        <v>347</v>
      </c>
      <c r="G33" s="537" t="s">
        <v>346</v>
      </c>
      <c r="H33" s="541" t="s">
        <v>283</v>
      </c>
      <c r="I33" s="541">
        <v>746</v>
      </c>
      <c r="J33" s="587">
        <v>524</v>
      </c>
      <c r="K33" s="587">
        <v>524</v>
      </c>
      <c r="L33" s="582" t="s">
        <v>345</v>
      </c>
      <c r="M33" s="558"/>
      <c r="N33" s="537" t="s">
        <v>117</v>
      </c>
      <c r="O33" s="577" t="s">
        <v>535</v>
      </c>
      <c r="P33" s="537"/>
      <c r="Q33" s="557">
        <f>'Tab A (Logframe)'!J201</f>
        <v>600</v>
      </c>
      <c r="R33" s="557">
        <f>'Tab A (Logframe)'!K201</f>
        <v>600</v>
      </c>
      <c r="S33" s="569" t="s">
        <v>534</v>
      </c>
    </row>
    <row r="34" spans="1:19" ht="73.2" customHeight="1" x14ac:dyDescent="0.3">
      <c r="A34" s="718"/>
      <c r="B34" s="556">
        <v>5.4</v>
      </c>
      <c r="C34" s="537" t="s">
        <v>348</v>
      </c>
      <c r="D34" s="579" t="s">
        <v>349</v>
      </c>
      <c r="E34" s="557" t="s">
        <v>256</v>
      </c>
      <c r="F34" s="541" t="s">
        <v>350</v>
      </c>
      <c r="G34" s="541" t="s">
        <v>112</v>
      </c>
      <c r="H34" s="541" t="s">
        <v>351</v>
      </c>
      <c r="I34" s="540" t="s">
        <v>352</v>
      </c>
      <c r="J34" s="580" t="s">
        <v>256</v>
      </c>
      <c r="K34" s="580" t="s">
        <v>256</v>
      </c>
      <c r="L34" s="541" t="s">
        <v>353</v>
      </c>
      <c r="M34" s="588"/>
      <c r="N34" s="537" t="s">
        <v>112</v>
      </c>
      <c r="O34" s="537" t="s">
        <v>283</v>
      </c>
      <c r="P34" s="526"/>
      <c r="Q34" s="557" t="str">
        <f>'Tab A (Logframe)'!J208</f>
        <v>&lt;17%</v>
      </c>
      <c r="R34" s="557" t="str">
        <f>'Tab A (Logframe)'!K208</f>
        <v>&lt;17%</v>
      </c>
      <c r="S34" s="569" t="s">
        <v>543</v>
      </c>
    </row>
    <row r="35" spans="1:19" x14ac:dyDescent="0.3">
      <c r="A35" s="418"/>
      <c r="B35" s="418"/>
      <c r="C35" s="418"/>
      <c r="D35" s="418"/>
      <c r="E35" s="418"/>
      <c r="F35" s="418"/>
      <c r="G35" s="418"/>
      <c r="H35" s="418"/>
      <c r="I35" s="418"/>
      <c r="J35" s="530"/>
      <c r="K35" s="530"/>
      <c r="L35" s="418"/>
      <c r="M35" s="418"/>
      <c r="N35" s="418"/>
      <c r="O35" s="418"/>
      <c r="P35" s="418"/>
      <c r="Q35" s="530"/>
      <c r="R35" s="530"/>
      <c r="S35" s="418"/>
    </row>
    <row r="36" spans="1:19" x14ac:dyDescent="0.3">
      <c r="A36" s="716" t="s">
        <v>354</v>
      </c>
      <c r="B36" s="716"/>
      <c r="C36" s="716"/>
      <c r="D36" s="716"/>
      <c r="E36" s="716"/>
      <c r="F36" s="716"/>
      <c r="G36" s="396"/>
      <c r="H36" s="396"/>
      <c r="I36" s="418"/>
      <c r="J36" s="530"/>
      <c r="K36" s="530"/>
      <c r="L36" s="418"/>
      <c r="M36" s="418"/>
      <c r="N36" s="396"/>
      <c r="O36" s="396"/>
      <c r="Q36" s="530"/>
      <c r="R36" s="530"/>
      <c r="S36" s="418"/>
    </row>
    <row r="37" spans="1:19" ht="66" customHeight="1" x14ac:dyDescent="0.3">
      <c r="A37" s="529" t="s">
        <v>355</v>
      </c>
      <c r="B37" s="531">
        <v>1.3</v>
      </c>
      <c r="C37" s="529" t="s">
        <v>356</v>
      </c>
      <c r="D37" s="532">
        <v>0.7</v>
      </c>
      <c r="E37" s="533" t="s">
        <v>286</v>
      </c>
      <c r="F37" s="529" t="s">
        <v>357</v>
      </c>
      <c r="G37" s="396"/>
      <c r="H37" s="396"/>
      <c r="I37" s="418"/>
      <c r="J37" s="530"/>
      <c r="K37" s="530"/>
      <c r="L37" s="418"/>
      <c r="M37" s="418"/>
      <c r="N37" s="396"/>
      <c r="O37" s="396"/>
      <c r="P37" s="418"/>
      <c r="Q37" s="418"/>
      <c r="R37" s="530"/>
      <c r="S37" s="418"/>
    </row>
    <row r="38" spans="1:19" ht="66" customHeight="1" x14ac:dyDescent="0.3">
      <c r="A38" s="717" t="s">
        <v>358</v>
      </c>
      <c r="B38" s="531">
        <v>2.2000000000000002</v>
      </c>
      <c r="C38" s="529" t="s">
        <v>359</v>
      </c>
      <c r="D38" s="534">
        <v>45</v>
      </c>
      <c r="E38" s="533" t="s">
        <v>286</v>
      </c>
      <c r="F38" s="529" t="s">
        <v>360</v>
      </c>
      <c r="G38" s="396"/>
      <c r="H38" s="396"/>
      <c r="I38" s="418"/>
      <c r="J38" s="530"/>
      <c r="K38" s="530"/>
      <c r="L38" s="418"/>
      <c r="M38" s="418"/>
      <c r="N38" s="396"/>
      <c r="O38" s="396"/>
      <c r="P38" s="418"/>
      <c r="Q38" s="530"/>
      <c r="R38" s="530"/>
      <c r="S38" s="418"/>
    </row>
    <row r="39" spans="1:19" ht="66" customHeight="1" x14ac:dyDescent="0.3">
      <c r="A39" s="717"/>
      <c r="B39" s="531">
        <v>2.2999999999999998</v>
      </c>
      <c r="C39" s="529" t="s">
        <v>361</v>
      </c>
      <c r="D39" s="534">
        <v>56</v>
      </c>
      <c r="E39" s="533" t="s">
        <v>286</v>
      </c>
      <c r="F39" s="529" t="s">
        <v>362</v>
      </c>
      <c r="G39" s="396"/>
      <c r="H39" s="396"/>
      <c r="I39" s="418"/>
      <c r="J39" s="530"/>
      <c r="K39" s="530"/>
      <c r="L39" s="418"/>
      <c r="M39" s="418"/>
      <c r="N39" s="396"/>
      <c r="O39" s="396"/>
      <c r="P39" s="418"/>
      <c r="Q39" s="530"/>
      <c r="R39" s="530"/>
      <c r="S39" s="418"/>
    </row>
    <row r="40" spans="1:19" ht="66" customHeight="1" x14ac:dyDescent="0.3">
      <c r="A40" s="529" t="s">
        <v>363</v>
      </c>
      <c r="B40" s="531">
        <v>3.2</v>
      </c>
      <c r="C40" s="529" t="s">
        <v>364</v>
      </c>
      <c r="D40" s="535">
        <v>5055248.1377659598</v>
      </c>
      <c r="E40" s="533" t="s">
        <v>286</v>
      </c>
      <c r="F40" s="529" t="s">
        <v>365</v>
      </c>
      <c r="G40" s="396"/>
      <c r="H40" s="396"/>
      <c r="I40" s="418"/>
      <c r="J40" s="530"/>
      <c r="K40" s="530"/>
      <c r="L40" s="418"/>
      <c r="M40" s="418"/>
      <c r="N40" s="396"/>
      <c r="O40" s="396"/>
      <c r="P40" s="418"/>
      <c r="Q40" s="530"/>
      <c r="R40" s="530"/>
      <c r="S40" s="418"/>
    </row>
    <row r="41" spans="1:19" ht="66" customHeight="1" x14ac:dyDescent="0.3">
      <c r="A41" s="526" t="s">
        <v>83</v>
      </c>
      <c r="B41" s="531">
        <v>2.1</v>
      </c>
      <c r="C41" s="529" t="s">
        <v>330</v>
      </c>
      <c r="D41" s="536"/>
      <c r="E41" s="529">
        <v>42</v>
      </c>
      <c r="F41" s="536"/>
      <c r="G41" s="418"/>
      <c r="H41" s="395" t="s">
        <v>360</v>
      </c>
      <c r="I41" s="418"/>
      <c r="J41" s="418"/>
      <c r="K41" s="418"/>
      <c r="L41" s="418"/>
      <c r="M41" s="418"/>
      <c r="N41" s="418"/>
      <c r="O41" s="395" t="s">
        <v>360</v>
      </c>
      <c r="P41" s="418"/>
      <c r="Q41" s="418"/>
      <c r="R41" s="418"/>
      <c r="S41" s="418"/>
    </row>
    <row r="42" spans="1:19" ht="66" customHeight="1" x14ac:dyDescent="0.3">
      <c r="A42" s="529" t="s">
        <v>366</v>
      </c>
      <c r="B42" s="531">
        <v>5.4</v>
      </c>
      <c r="C42" s="537" t="s">
        <v>348</v>
      </c>
      <c r="D42" s="529" t="s">
        <v>352</v>
      </c>
      <c r="E42" s="536"/>
      <c r="F42" s="536"/>
      <c r="G42" s="418"/>
      <c r="H42" s="395" t="s">
        <v>367</v>
      </c>
      <c r="I42" s="418"/>
      <c r="J42" s="418"/>
      <c r="K42" s="418"/>
      <c r="L42" s="418"/>
      <c r="M42" s="418"/>
      <c r="N42" s="418"/>
      <c r="O42" s="395" t="s">
        <v>367</v>
      </c>
      <c r="P42" s="418"/>
      <c r="Q42" s="418"/>
      <c r="R42" s="418"/>
      <c r="S42" s="418"/>
    </row>
  </sheetData>
  <mergeCells count="16">
    <mergeCell ref="A1:S1"/>
    <mergeCell ref="A36:F36"/>
    <mergeCell ref="A38:A39"/>
    <mergeCell ref="A3:F3"/>
    <mergeCell ref="A6:F6"/>
    <mergeCell ref="A13:F13"/>
    <mergeCell ref="A21:F21"/>
    <mergeCell ref="A4:A5"/>
    <mergeCell ref="A7:A12"/>
    <mergeCell ref="A14:A20"/>
    <mergeCell ref="A23:F23"/>
    <mergeCell ref="A26:F26"/>
    <mergeCell ref="A27:A29"/>
    <mergeCell ref="A30:F30"/>
    <mergeCell ref="A31:A34"/>
    <mergeCell ref="A24:A2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1"/>
  <sheetViews>
    <sheetView topLeftCell="A16" workbookViewId="0">
      <selection activeCell="D52" sqref="D52"/>
    </sheetView>
  </sheetViews>
  <sheetFormatPr defaultColWidth="10.77734375" defaultRowHeight="14.4" x14ac:dyDescent="0.3"/>
  <cols>
    <col min="1" max="1" width="16.77734375" customWidth="1"/>
    <col min="2" max="10" width="30.77734375" customWidth="1"/>
  </cols>
  <sheetData>
    <row r="1" spans="1:10" ht="20.399999999999999" x14ac:dyDescent="0.3">
      <c r="A1" s="720" t="s">
        <v>368</v>
      </c>
      <c r="B1" s="720"/>
      <c r="C1" s="720"/>
      <c r="D1" s="720"/>
      <c r="E1" s="720"/>
      <c r="F1" s="720"/>
      <c r="G1" s="720"/>
      <c r="H1" s="720"/>
      <c r="I1" s="720"/>
      <c r="J1" s="720"/>
    </row>
    <row r="2" spans="1:10" x14ac:dyDescent="0.3">
      <c r="A2" s="721" t="s">
        <v>369</v>
      </c>
      <c r="B2" s="721" t="s">
        <v>370</v>
      </c>
      <c r="C2" s="723" t="s">
        <v>371</v>
      </c>
      <c r="D2" s="725" t="s">
        <v>372</v>
      </c>
      <c r="E2" s="726"/>
      <c r="F2" s="723" t="s">
        <v>373</v>
      </c>
      <c r="G2" s="721" t="s">
        <v>374</v>
      </c>
      <c r="H2" s="721" t="s">
        <v>375</v>
      </c>
      <c r="I2" s="721" t="s">
        <v>376</v>
      </c>
      <c r="J2" s="723" t="s">
        <v>377</v>
      </c>
    </row>
    <row r="3" spans="1:10" x14ac:dyDescent="0.3">
      <c r="A3" s="722"/>
      <c r="B3" s="722"/>
      <c r="C3" s="724"/>
      <c r="D3" s="381" t="s">
        <v>378</v>
      </c>
      <c r="E3" s="381" t="s">
        <v>379</v>
      </c>
      <c r="F3" s="724"/>
      <c r="G3" s="722"/>
      <c r="H3" s="722"/>
      <c r="I3" s="722"/>
      <c r="J3" s="724"/>
    </row>
    <row r="4" spans="1:10" ht="34.200000000000003" x14ac:dyDescent="0.3">
      <c r="A4" s="727" t="s">
        <v>380</v>
      </c>
      <c r="B4" s="426" t="s">
        <v>605</v>
      </c>
      <c r="C4" s="489" t="s">
        <v>381</v>
      </c>
      <c r="D4" s="426" t="s">
        <v>382</v>
      </c>
      <c r="E4" s="489" t="s">
        <v>383</v>
      </c>
      <c r="F4" s="489" t="s">
        <v>384</v>
      </c>
      <c r="G4" s="489" t="s">
        <v>385</v>
      </c>
      <c r="H4" s="428" t="s">
        <v>386</v>
      </c>
      <c r="I4" s="489" t="s">
        <v>387</v>
      </c>
      <c r="J4" s="489" t="s">
        <v>388</v>
      </c>
    </row>
    <row r="5" spans="1:10" ht="159.6" x14ac:dyDescent="0.3">
      <c r="A5" s="728"/>
      <c r="B5" s="426" t="s">
        <v>606</v>
      </c>
      <c r="C5" s="429" t="s">
        <v>389</v>
      </c>
      <c r="D5" s="426" t="s">
        <v>390</v>
      </c>
      <c r="E5" s="489" t="s">
        <v>391</v>
      </c>
      <c r="F5" s="489" t="s">
        <v>384</v>
      </c>
      <c r="G5" s="489" t="s">
        <v>385</v>
      </c>
      <c r="H5" s="428" t="s">
        <v>386</v>
      </c>
      <c r="I5" s="489" t="s">
        <v>387</v>
      </c>
      <c r="J5" s="489" t="s">
        <v>392</v>
      </c>
    </row>
    <row r="6" spans="1:10" ht="57" x14ac:dyDescent="0.3">
      <c r="A6" s="735" t="s">
        <v>393</v>
      </c>
      <c r="B6" s="429" t="s">
        <v>394</v>
      </c>
      <c r="C6" s="429" t="s">
        <v>395</v>
      </c>
      <c r="D6" s="429" t="s">
        <v>396</v>
      </c>
      <c r="E6" s="429" t="s">
        <v>397</v>
      </c>
      <c r="F6" s="427" t="s">
        <v>384</v>
      </c>
      <c r="G6" s="427" t="s">
        <v>385</v>
      </c>
      <c r="H6" s="428" t="s">
        <v>398</v>
      </c>
      <c r="I6" s="430" t="s">
        <v>387</v>
      </c>
      <c r="J6" s="431" t="s">
        <v>399</v>
      </c>
    </row>
    <row r="7" spans="1:10" ht="57" x14ac:dyDescent="0.3">
      <c r="A7" s="736"/>
      <c r="B7" s="427" t="s">
        <v>619</v>
      </c>
      <c r="C7" s="431" t="s">
        <v>400</v>
      </c>
      <c r="D7" s="733" t="s">
        <v>401</v>
      </c>
      <c r="E7" s="734"/>
      <c r="F7" s="431" t="s">
        <v>402</v>
      </c>
      <c r="G7" s="431" t="s">
        <v>403</v>
      </c>
      <c r="H7" s="431" t="s">
        <v>404</v>
      </c>
      <c r="I7" s="432" t="s">
        <v>405</v>
      </c>
      <c r="J7" s="431" t="s">
        <v>406</v>
      </c>
    </row>
    <row r="8" spans="1:10" ht="45.6" x14ac:dyDescent="0.3">
      <c r="A8" s="736"/>
      <c r="B8" s="427" t="s">
        <v>620</v>
      </c>
      <c r="C8" s="431" t="s">
        <v>520</v>
      </c>
      <c r="D8" s="431" t="s">
        <v>521</v>
      </c>
      <c r="E8" s="431" t="s">
        <v>407</v>
      </c>
      <c r="F8" s="431" t="s">
        <v>402</v>
      </c>
      <c r="G8" s="431" t="s">
        <v>408</v>
      </c>
      <c r="H8" s="431" t="s">
        <v>404</v>
      </c>
      <c r="I8" s="433" t="s">
        <v>405</v>
      </c>
      <c r="J8" s="431" t="s">
        <v>409</v>
      </c>
    </row>
    <row r="9" spans="1:10" ht="102.6" x14ac:dyDescent="0.3">
      <c r="A9" s="736"/>
      <c r="B9" s="434" t="s">
        <v>621</v>
      </c>
      <c r="C9" s="431" t="s">
        <v>410</v>
      </c>
      <c r="D9" s="431" t="s">
        <v>411</v>
      </c>
      <c r="E9" s="433">
        <v>1</v>
      </c>
      <c r="F9" s="431" t="s">
        <v>402</v>
      </c>
      <c r="G9" s="431" t="s">
        <v>408</v>
      </c>
      <c r="H9" s="431" t="s">
        <v>404</v>
      </c>
      <c r="I9" s="433" t="s">
        <v>405</v>
      </c>
      <c r="J9" s="431" t="s">
        <v>412</v>
      </c>
    </row>
    <row r="10" spans="1:10" ht="57" x14ac:dyDescent="0.3">
      <c r="A10" s="736"/>
      <c r="B10" s="427" t="s">
        <v>622</v>
      </c>
      <c r="C10" s="431" t="s">
        <v>413</v>
      </c>
      <c r="D10" s="431" t="s">
        <v>414</v>
      </c>
      <c r="E10" s="431" t="s">
        <v>415</v>
      </c>
      <c r="F10" s="431" t="s">
        <v>402</v>
      </c>
      <c r="G10" s="431" t="s">
        <v>408</v>
      </c>
      <c r="H10" s="431" t="s">
        <v>404</v>
      </c>
      <c r="I10" s="433" t="s">
        <v>405</v>
      </c>
      <c r="J10" s="431" t="s">
        <v>416</v>
      </c>
    </row>
    <row r="11" spans="1:10" ht="34.200000000000003" x14ac:dyDescent="0.3">
      <c r="A11" s="386"/>
      <c r="B11" s="427" t="s">
        <v>628</v>
      </c>
      <c r="C11" s="431" t="s">
        <v>417</v>
      </c>
      <c r="D11" s="431" t="s">
        <v>418</v>
      </c>
      <c r="E11" s="431" t="s">
        <v>419</v>
      </c>
      <c r="F11" s="431" t="s">
        <v>420</v>
      </c>
      <c r="G11" s="431" t="s">
        <v>403</v>
      </c>
      <c r="H11" s="431" t="s">
        <v>404</v>
      </c>
      <c r="I11" s="432" t="s">
        <v>405</v>
      </c>
      <c r="J11" s="431" t="s">
        <v>421</v>
      </c>
    </row>
    <row r="12" spans="1:10" ht="102.6" x14ac:dyDescent="0.3">
      <c r="A12" s="737" t="s">
        <v>422</v>
      </c>
      <c r="B12" s="427" t="s">
        <v>623</v>
      </c>
      <c r="C12" s="431" t="s">
        <v>423</v>
      </c>
      <c r="D12" s="431" t="s">
        <v>424</v>
      </c>
      <c r="E12" s="431" t="s">
        <v>425</v>
      </c>
      <c r="F12" s="431" t="s">
        <v>420</v>
      </c>
      <c r="G12" s="431" t="s">
        <v>403</v>
      </c>
      <c r="H12" s="435" t="s">
        <v>404</v>
      </c>
      <c r="I12" s="432" t="s">
        <v>405</v>
      </c>
      <c r="J12" s="431" t="s">
        <v>426</v>
      </c>
    </row>
    <row r="13" spans="1:10" ht="80.400000000000006" x14ac:dyDescent="0.3">
      <c r="A13" s="738"/>
      <c r="B13" s="426" t="s">
        <v>607</v>
      </c>
      <c r="C13" s="427" t="s">
        <v>427</v>
      </c>
      <c r="D13" s="436" t="s">
        <v>428</v>
      </c>
      <c r="E13" s="437">
        <v>1</v>
      </c>
      <c r="F13" s="431" t="s">
        <v>429</v>
      </c>
      <c r="G13" s="431" t="s">
        <v>430</v>
      </c>
      <c r="H13" s="435" t="s">
        <v>404</v>
      </c>
      <c r="I13" s="432" t="s">
        <v>405</v>
      </c>
      <c r="J13" s="431" t="s">
        <v>431</v>
      </c>
    </row>
    <row r="14" spans="1:10" ht="69" x14ac:dyDescent="0.3">
      <c r="A14" s="738"/>
      <c r="B14" s="426" t="s">
        <v>608</v>
      </c>
      <c r="C14" s="431" t="s">
        <v>432</v>
      </c>
      <c r="D14" s="431" t="s">
        <v>433</v>
      </c>
      <c r="E14" s="431" t="s">
        <v>434</v>
      </c>
      <c r="F14" s="431" t="s">
        <v>420</v>
      </c>
      <c r="G14" s="431" t="s">
        <v>403</v>
      </c>
      <c r="H14" s="435" t="s">
        <v>404</v>
      </c>
      <c r="I14" s="432" t="s">
        <v>405</v>
      </c>
      <c r="J14" s="431" t="s">
        <v>435</v>
      </c>
    </row>
    <row r="15" spans="1:10" ht="68.400000000000006" x14ac:dyDescent="0.3">
      <c r="A15" s="738"/>
      <c r="B15" s="427" t="s">
        <v>609</v>
      </c>
      <c r="C15" s="438" t="s">
        <v>436</v>
      </c>
      <c r="D15" s="431" t="s">
        <v>437</v>
      </c>
      <c r="E15" s="437">
        <v>1</v>
      </c>
      <c r="F15" s="431" t="s">
        <v>402</v>
      </c>
      <c r="G15" s="431" t="s">
        <v>403</v>
      </c>
      <c r="H15" s="435" t="s">
        <v>404</v>
      </c>
      <c r="I15" s="432" t="s">
        <v>405</v>
      </c>
      <c r="J15" s="431" t="s">
        <v>438</v>
      </c>
    </row>
    <row r="16" spans="1:10" ht="216.6" x14ac:dyDescent="0.3">
      <c r="A16" s="738"/>
      <c r="B16" s="426" t="s">
        <v>610</v>
      </c>
      <c r="C16" s="429" t="s">
        <v>439</v>
      </c>
      <c r="D16" s="429" t="s">
        <v>440</v>
      </c>
      <c r="E16" s="437">
        <v>1</v>
      </c>
      <c r="F16" s="426" t="s">
        <v>441</v>
      </c>
      <c r="G16" s="426" t="s">
        <v>403</v>
      </c>
      <c r="H16" s="435" t="s">
        <v>404</v>
      </c>
      <c r="I16" s="439" t="s">
        <v>387</v>
      </c>
      <c r="J16" s="426" t="s">
        <v>442</v>
      </c>
    </row>
    <row r="17" spans="1:12" ht="45.6" x14ac:dyDescent="0.3">
      <c r="A17" s="738"/>
      <c r="B17" s="427" t="s">
        <v>611</v>
      </c>
      <c r="C17" s="426" t="s">
        <v>443</v>
      </c>
      <c r="D17" s="440" t="s">
        <v>444</v>
      </c>
      <c r="E17" s="440">
        <v>1</v>
      </c>
      <c r="F17" s="441" t="s">
        <v>445</v>
      </c>
      <c r="G17" s="440" t="s">
        <v>446</v>
      </c>
      <c r="H17" s="435" t="s">
        <v>404</v>
      </c>
      <c r="I17" s="442" t="s">
        <v>405</v>
      </c>
      <c r="J17" s="431" t="s">
        <v>447</v>
      </c>
      <c r="K17" s="382"/>
      <c r="L17" s="382"/>
    </row>
    <row r="18" spans="1:12" ht="57" x14ac:dyDescent="0.3">
      <c r="A18" s="738"/>
      <c r="B18" s="427" t="s">
        <v>612</v>
      </c>
      <c r="C18" s="426" t="s">
        <v>448</v>
      </c>
      <c r="D18" s="441" t="s">
        <v>449</v>
      </c>
      <c r="E18" s="433">
        <v>1</v>
      </c>
      <c r="F18" s="441" t="s">
        <v>450</v>
      </c>
      <c r="G18" s="440" t="s">
        <v>446</v>
      </c>
      <c r="H18" s="435" t="s">
        <v>404</v>
      </c>
      <c r="I18" s="442" t="s">
        <v>405</v>
      </c>
      <c r="J18" s="431" t="s">
        <v>447</v>
      </c>
      <c r="K18" s="384"/>
      <c r="L18" s="384"/>
    </row>
    <row r="19" spans="1:12" ht="105.6" x14ac:dyDescent="0.3">
      <c r="A19" s="385" t="s">
        <v>451</v>
      </c>
      <c r="B19" s="427" t="s">
        <v>613</v>
      </c>
      <c r="C19" s="426" t="s">
        <v>84</v>
      </c>
      <c r="D19" s="427" t="s">
        <v>84</v>
      </c>
      <c r="E19" s="433">
        <v>1</v>
      </c>
      <c r="F19" s="431" t="s">
        <v>452</v>
      </c>
      <c r="G19" s="431" t="s">
        <v>453</v>
      </c>
      <c r="H19" s="435" t="s">
        <v>404</v>
      </c>
      <c r="I19" s="442" t="s">
        <v>405</v>
      </c>
      <c r="J19" s="431" t="s">
        <v>454</v>
      </c>
      <c r="K19" s="382"/>
      <c r="L19" s="382"/>
    </row>
    <row r="20" spans="1:12" ht="102.6" x14ac:dyDescent="0.3">
      <c r="A20" s="729" t="s">
        <v>629</v>
      </c>
      <c r="B20" s="426" t="s">
        <v>614</v>
      </c>
      <c r="C20" s="426" t="s">
        <v>455</v>
      </c>
      <c r="D20" s="443" t="s">
        <v>456</v>
      </c>
      <c r="E20" s="443" t="s">
        <v>457</v>
      </c>
      <c r="F20" s="431" t="s">
        <v>402</v>
      </c>
      <c r="G20" s="431" t="s">
        <v>453</v>
      </c>
      <c r="H20" s="435" t="s">
        <v>404</v>
      </c>
      <c r="I20" s="442" t="s">
        <v>405</v>
      </c>
      <c r="J20" s="443" t="s">
        <v>458</v>
      </c>
      <c r="K20" s="382"/>
      <c r="L20" s="382"/>
    </row>
    <row r="21" spans="1:12" ht="68.400000000000006" x14ac:dyDescent="0.3">
      <c r="A21" s="730"/>
      <c r="B21" s="426" t="s">
        <v>624</v>
      </c>
      <c r="C21" s="426" t="s">
        <v>459</v>
      </c>
      <c r="D21" s="426" t="s">
        <v>522</v>
      </c>
      <c r="E21" s="433" t="s">
        <v>523</v>
      </c>
      <c r="F21" s="431" t="s">
        <v>402</v>
      </c>
      <c r="G21" s="431" t="s">
        <v>453</v>
      </c>
      <c r="H21" s="435" t="s">
        <v>404</v>
      </c>
      <c r="I21" s="442" t="s">
        <v>405</v>
      </c>
      <c r="J21" s="431" t="s">
        <v>460</v>
      </c>
      <c r="K21" s="382"/>
      <c r="L21" s="383"/>
    </row>
    <row r="22" spans="1:12" ht="68.400000000000006" x14ac:dyDescent="0.3">
      <c r="A22" s="730" t="s">
        <v>461</v>
      </c>
      <c r="B22" s="426" t="s">
        <v>615</v>
      </c>
      <c r="C22" s="426"/>
      <c r="D22" s="426" t="s">
        <v>462</v>
      </c>
      <c r="E22" s="433">
        <v>1</v>
      </c>
      <c r="F22" s="431" t="s">
        <v>542</v>
      </c>
      <c r="G22" s="431" t="s">
        <v>403</v>
      </c>
      <c r="H22" s="435" t="s">
        <v>404</v>
      </c>
      <c r="I22" s="442" t="s">
        <v>387</v>
      </c>
      <c r="J22" s="431" t="s">
        <v>463</v>
      </c>
      <c r="K22" s="382"/>
      <c r="L22" s="383"/>
    </row>
    <row r="23" spans="1:12" ht="68.400000000000006" x14ac:dyDescent="0.3">
      <c r="A23" s="730"/>
      <c r="B23" s="426" t="s">
        <v>625</v>
      </c>
      <c r="C23" s="426" t="s">
        <v>464</v>
      </c>
      <c r="D23" s="443" t="s">
        <v>465</v>
      </c>
      <c r="E23" s="443" t="s">
        <v>457</v>
      </c>
      <c r="F23" s="443" t="s">
        <v>402</v>
      </c>
      <c r="G23" s="443" t="s">
        <v>403</v>
      </c>
      <c r="H23" s="435" t="s">
        <v>404</v>
      </c>
      <c r="I23" s="442" t="s">
        <v>405</v>
      </c>
      <c r="J23" s="443" t="s">
        <v>466</v>
      </c>
      <c r="K23" s="382"/>
      <c r="L23" s="383"/>
    </row>
    <row r="24" spans="1:12" ht="34.200000000000003" x14ac:dyDescent="0.3">
      <c r="A24" s="732"/>
      <c r="B24" s="427" t="s">
        <v>616</v>
      </c>
      <c r="C24" s="426" t="s">
        <v>467</v>
      </c>
      <c r="D24" s="426" t="s">
        <v>468</v>
      </c>
      <c r="E24" s="433">
        <v>1</v>
      </c>
      <c r="F24" s="426" t="s">
        <v>469</v>
      </c>
      <c r="G24" s="426" t="s">
        <v>446</v>
      </c>
      <c r="H24" s="435" t="s">
        <v>404</v>
      </c>
      <c r="I24" s="442" t="s">
        <v>405</v>
      </c>
      <c r="J24" s="426" t="s">
        <v>470</v>
      </c>
      <c r="K24" s="382"/>
      <c r="L24" s="382"/>
    </row>
    <row r="25" spans="1:12" ht="34.799999999999997" x14ac:dyDescent="0.3">
      <c r="A25" s="731" t="s">
        <v>471</v>
      </c>
      <c r="B25" s="426" t="s">
        <v>617</v>
      </c>
      <c r="C25" s="426" t="s">
        <v>472</v>
      </c>
      <c r="D25" s="426" t="s">
        <v>473</v>
      </c>
      <c r="E25" s="433">
        <v>1</v>
      </c>
      <c r="F25" s="444" t="s">
        <v>474</v>
      </c>
      <c r="G25" s="426" t="s">
        <v>475</v>
      </c>
      <c r="H25" s="435" t="s">
        <v>404</v>
      </c>
      <c r="I25" s="442" t="s">
        <v>405</v>
      </c>
      <c r="J25" s="426" t="s">
        <v>476</v>
      </c>
      <c r="K25" s="382"/>
      <c r="L25" s="382"/>
    </row>
    <row r="26" spans="1:12" ht="45.6" x14ac:dyDescent="0.3">
      <c r="A26" s="731"/>
      <c r="B26" s="426" t="s">
        <v>626</v>
      </c>
      <c r="C26" s="426" t="s">
        <v>477</v>
      </c>
      <c r="D26" s="426" t="s">
        <v>477</v>
      </c>
      <c r="E26" s="433">
        <v>1</v>
      </c>
      <c r="F26" s="445" t="s">
        <v>474</v>
      </c>
      <c r="G26" s="446" t="s">
        <v>475</v>
      </c>
      <c r="H26" s="435" t="s">
        <v>404</v>
      </c>
      <c r="I26" s="442" t="s">
        <v>405</v>
      </c>
      <c r="J26" s="446" t="s">
        <v>447</v>
      </c>
      <c r="K26" s="382"/>
      <c r="L26" s="382"/>
    </row>
    <row r="27" spans="1:12" ht="34.200000000000003" x14ac:dyDescent="0.3">
      <c r="A27" s="731"/>
      <c r="B27" s="426" t="s">
        <v>627</v>
      </c>
      <c r="C27" s="427" t="s">
        <v>478</v>
      </c>
      <c r="D27" s="427" t="s">
        <v>478</v>
      </c>
      <c r="E27" s="433">
        <v>1</v>
      </c>
      <c r="F27" s="445" t="s">
        <v>474</v>
      </c>
      <c r="G27" s="446" t="s">
        <v>475</v>
      </c>
      <c r="H27" s="435" t="s">
        <v>404</v>
      </c>
      <c r="I27" s="442" t="s">
        <v>405</v>
      </c>
      <c r="J27" s="446" t="s">
        <v>447</v>
      </c>
      <c r="K27" s="384"/>
      <c r="L27" s="384"/>
    </row>
    <row r="28" spans="1:12" ht="57" x14ac:dyDescent="0.3">
      <c r="A28" s="731"/>
      <c r="B28" s="429" t="s">
        <v>618</v>
      </c>
      <c r="C28" s="429" t="s">
        <v>479</v>
      </c>
      <c r="D28" s="429" t="s">
        <v>480</v>
      </c>
      <c r="E28" s="429" t="s">
        <v>481</v>
      </c>
      <c r="F28" s="427" t="s">
        <v>420</v>
      </c>
      <c r="G28" s="427" t="s">
        <v>403</v>
      </c>
      <c r="H28" s="428" t="s">
        <v>386</v>
      </c>
      <c r="I28" s="427" t="s">
        <v>405</v>
      </c>
      <c r="J28" s="427" t="s">
        <v>482</v>
      </c>
      <c r="K28" s="384"/>
      <c r="L28" s="384"/>
    </row>
    <row r="29" spans="1:12" x14ac:dyDescent="0.3">
      <c r="A29" s="387"/>
      <c r="B29" s="388"/>
      <c r="C29" s="389"/>
      <c r="D29" s="390"/>
      <c r="E29" s="391"/>
      <c r="F29" s="390"/>
      <c r="G29" s="390"/>
      <c r="H29" s="392"/>
      <c r="I29" s="393"/>
      <c r="J29" s="380"/>
      <c r="K29" s="380"/>
      <c r="L29" s="380"/>
    </row>
    <row r="30" spans="1:12" x14ac:dyDescent="0.3">
      <c r="A30" s="380"/>
      <c r="B30" s="380"/>
      <c r="C30" s="394"/>
      <c r="D30" s="380"/>
      <c r="E30" s="380"/>
      <c r="F30" s="380"/>
      <c r="G30" s="380"/>
      <c r="H30" s="380"/>
      <c r="I30" s="380"/>
      <c r="J30" s="380"/>
      <c r="K30" s="380"/>
      <c r="L30" s="380"/>
    </row>
    <row r="31" spans="1:12" x14ac:dyDescent="0.3">
      <c r="A31" s="380"/>
      <c r="B31" s="380"/>
      <c r="C31" s="394"/>
      <c r="D31" s="380"/>
      <c r="E31" s="380"/>
      <c r="F31" s="380"/>
      <c r="G31" s="380"/>
      <c r="H31" s="380"/>
      <c r="I31" s="380"/>
      <c r="J31" s="380"/>
      <c r="K31" s="380"/>
      <c r="L31" s="380"/>
    </row>
  </sheetData>
  <mergeCells count="17">
    <mergeCell ref="A4:A5"/>
    <mergeCell ref="A20:A21"/>
    <mergeCell ref="A25:A28"/>
    <mergeCell ref="A22:A24"/>
    <mergeCell ref="D7:E7"/>
    <mergeCell ref="A6:A10"/>
    <mergeCell ref="A12:A18"/>
    <mergeCell ref="A1:J1"/>
    <mergeCell ref="B2:B3"/>
    <mergeCell ref="C2:C3"/>
    <mergeCell ref="D2:E2"/>
    <mergeCell ref="F2:F3"/>
    <mergeCell ref="G2:G3"/>
    <mergeCell ref="H2:H3"/>
    <mergeCell ref="I2:I3"/>
    <mergeCell ref="J2:J3"/>
    <mergeCell ref="A2:A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8"/>
  <sheetViews>
    <sheetView workbookViewId="0">
      <selection activeCell="D19" sqref="D19"/>
    </sheetView>
  </sheetViews>
  <sheetFormatPr defaultColWidth="10.88671875" defaultRowHeight="14.4" x14ac:dyDescent="0.3"/>
  <cols>
    <col min="3" max="5" width="30.77734375" customWidth="1"/>
  </cols>
  <sheetData>
    <row r="1" spans="1:1" x14ac:dyDescent="0.3">
      <c r="A1" s="467" t="s">
        <v>544</v>
      </c>
    </row>
    <row r="2" spans="1:1" x14ac:dyDescent="0.3">
      <c r="A2" s="466" t="s">
        <v>545</v>
      </c>
    </row>
    <row r="3" spans="1:1" x14ac:dyDescent="0.3">
      <c r="A3" s="466" t="s">
        <v>546</v>
      </c>
    </row>
    <row r="4" spans="1:1" x14ac:dyDescent="0.3">
      <c r="A4" s="466" t="s">
        <v>547</v>
      </c>
    </row>
    <row r="5" spans="1:1" x14ac:dyDescent="0.3">
      <c r="A5" s="466" t="s">
        <v>548</v>
      </c>
    </row>
    <row r="6" spans="1:1" x14ac:dyDescent="0.3">
      <c r="A6" s="466" t="s">
        <v>549</v>
      </c>
    </row>
    <row r="19" spans="1:5" x14ac:dyDescent="0.3">
      <c r="A19" s="467" t="s">
        <v>550</v>
      </c>
      <c r="B19" s="466"/>
      <c r="C19" s="466"/>
      <c r="D19" s="466"/>
      <c r="E19" s="466"/>
    </row>
    <row r="20" spans="1:5" ht="15" thickBot="1" x14ac:dyDescent="0.35">
      <c r="A20" s="466"/>
      <c r="B20" s="466"/>
      <c r="C20" s="466"/>
      <c r="D20" s="466"/>
      <c r="E20" s="466"/>
    </row>
    <row r="21" spans="1:5" ht="15" thickBot="1" x14ac:dyDescent="0.35">
      <c r="A21" s="466"/>
      <c r="B21" s="739" t="s">
        <v>551</v>
      </c>
      <c r="C21" s="740"/>
      <c r="D21" s="468" t="s">
        <v>552</v>
      </c>
      <c r="E21" s="468" t="s">
        <v>553</v>
      </c>
    </row>
    <row r="22" spans="1:5" ht="15" thickBot="1" x14ac:dyDescent="0.35">
      <c r="A22" s="466"/>
      <c r="B22" s="474" t="s">
        <v>554</v>
      </c>
      <c r="C22" s="472" t="s">
        <v>555</v>
      </c>
      <c r="D22" s="469"/>
      <c r="E22" s="469"/>
    </row>
    <row r="23" spans="1:5" ht="28.2" thickBot="1" x14ac:dyDescent="0.35">
      <c r="A23" s="466"/>
      <c r="B23" s="474" t="s">
        <v>556</v>
      </c>
      <c r="C23" s="472" t="s">
        <v>557</v>
      </c>
      <c r="D23" s="469"/>
      <c r="E23" s="469"/>
    </row>
    <row r="24" spans="1:5" ht="28.2" thickBot="1" x14ac:dyDescent="0.35">
      <c r="A24" s="466"/>
      <c r="B24" s="474" t="s">
        <v>558</v>
      </c>
      <c r="C24" s="472" t="s">
        <v>559</v>
      </c>
      <c r="D24" s="469"/>
      <c r="E24" s="469"/>
    </row>
    <row r="25" spans="1:5" ht="42" thickBot="1" x14ac:dyDescent="0.35">
      <c r="A25" s="466"/>
      <c r="B25" s="474" t="s">
        <v>560</v>
      </c>
      <c r="C25" s="472" t="s">
        <v>561</v>
      </c>
      <c r="D25" s="469"/>
      <c r="E25" s="469"/>
    </row>
    <row r="26" spans="1:5" ht="42" thickBot="1" x14ac:dyDescent="0.35">
      <c r="A26" s="466"/>
      <c r="B26" s="474" t="s">
        <v>562</v>
      </c>
      <c r="C26" s="472" t="s">
        <v>563</v>
      </c>
      <c r="D26" s="469"/>
      <c r="E26" s="469"/>
    </row>
    <row r="27" spans="1:5" ht="55.8" thickBot="1" x14ac:dyDescent="0.35">
      <c r="A27" s="466"/>
      <c r="B27" s="474" t="s">
        <v>564</v>
      </c>
      <c r="C27" s="472" t="s">
        <v>565</v>
      </c>
      <c r="D27" s="469"/>
      <c r="E27" s="469"/>
    </row>
    <row r="28" spans="1:5" ht="28.2" thickBot="1" x14ac:dyDescent="0.35">
      <c r="A28" s="466"/>
      <c r="B28" s="474" t="s">
        <v>566</v>
      </c>
      <c r="C28" s="472" t="s">
        <v>567</v>
      </c>
      <c r="D28" s="469"/>
      <c r="E28" s="469"/>
    </row>
    <row r="29" spans="1:5" ht="28.2" thickBot="1" x14ac:dyDescent="0.35">
      <c r="A29" s="466"/>
      <c r="B29" s="474" t="s">
        <v>568</v>
      </c>
      <c r="C29" s="472" t="s">
        <v>569</v>
      </c>
      <c r="D29" s="469"/>
      <c r="E29" s="469"/>
    </row>
    <row r="30" spans="1:5" ht="28.2" thickBot="1" x14ac:dyDescent="0.35">
      <c r="A30" s="466"/>
      <c r="B30" s="474" t="s">
        <v>570</v>
      </c>
      <c r="C30" s="472" t="s">
        <v>571</v>
      </c>
      <c r="D30" s="470"/>
      <c r="E30" s="469"/>
    </row>
    <row r="31" spans="1:5" ht="28.2" thickBot="1" x14ac:dyDescent="0.35">
      <c r="A31" s="466"/>
      <c r="B31" s="474" t="s">
        <v>572</v>
      </c>
      <c r="C31" s="472" t="s">
        <v>573</v>
      </c>
      <c r="D31" s="470"/>
      <c r="E31" s="469"/>
    </row>
    <row r="32" spans="1:5" ht="28.2" thickBot="1" x14ac:dyDescent="0.35">
      <c r="A32" s="466"/>
      <c r="B32" s="474" t="s">
        <v>574</v>
      </c>
      <c r="C32" s="472" t="s">
        <v>575</v>
      </c>
      <c r="D32" s="470"/>
      <c r="E32" s="469"/>
    </row>
    <row r="33" spans="1:5" ht="28.2" thickBot="1" x14ac:dyDescent="0.35">
      <c r="A33" s="466"/>
      <c r="B33" s="474" t="s">
        <v>576</v>
      </c>
      <c r="C33" s="472" t="s">
        <v>577</v>
      </c>
      <c r="D33" s="470"/>
      <c r="E33" s="469"/>
    </row>
    <row r="34" spans="1:5" ht="15" thickBot="1" x14ac:dyDescent="0.35">
      <c r="A34" s="466"/>
      <c r="B34" s="475"/>
      <c r="C34" s="473" t="s">
        <v>578</v>
      </c>
      <c r="D34" s="471" t="s">
        <v>579</v>
      </c>
      <c r="E34" s="471" t="s">
        <v>580</v>
      </c>
    </row>
    <row r="35" spans="1:5" ht="28.2" thickBot="1" x14ac:dyDescent="0.35">
      <c r="A35" s="466"/>
      <c r="B35" s="475"/>
      <c r="C35" s="473" t="s">
        <v>581</v>
      </c>
      <c r="D35" s="471" t="s">
        <v>582</v>
      </c>
      <c r="E35" s="471" t="s">
        <v>583</v>
      </c>
    </row>
    <row r="36" spans="1:5" ht="28.2" thickBot="1" x14ac:dyDescent="0.35">
      <c r="A36" s="466"/>
      <c r="B36" s="475"/>
      <c r="C36" s="473" t="s">
        <v>584</v>
      </c>
      <c r="D36" s="471" t="s">
        <v>585</v>
      </c>
      <c r="E36" s="471" t="s">
        <v>586</v>
      </c>
    </row>
    <row r="37" spans="1:5" x14ac:dyDescent="0.3">
      <c r="A37" s="466"/>
      <c r="B37" s="741" t="s">
        <v>587</v>
      </c>
      <c r="C37" s="741"/>
      <c r="D37" s="741"/>
      <c r="E37" s="741"/>
    </row>
    <row r="38" spans="1:5" x14ac:dyDescent="0.3">
      <c r="A38" s="466"/>
      <c r="B38" s="478" t="s">
        <v>588</v>
      </c>
      <c r="C38" s="476"/>
      <c r="D38" s="477"/>
      <c r="E38" s="466"/>
    </row>
  </sheetData>
  <mergeCells count="2">
    <mergeCell ref="B21:C21"/>
    <mergeCell ref="B37:E3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F11"/>
  <sheetViews>
    <sheetView workbookViewId="0">
      <selection activeCell="C201" sqref="C201"/>
    </sheetView>
  </sheetViews>
  <sheetFormatPr defaultColWidth="10.77734375" defaultRowHeight="14.4" x14ac:dyDescent="0.3"/>
  <cols>
    <col min="2" max="5" width="30.77734375" customWidth="1"/>
  </cols>
  <sheetData>
    <row r="2" spans="2:6" ht="15" thickBot="1" x14ac:dyDescent="0.35">
      <c r="B2" s="415" t="s">
        <v>483</v>
      </c>
      <c r="C2" s="397"/>
      <c r="D2" s="397"/>
      <c r="E2" s="397"/>
      <c r="F2" s="397"/>
    </row>
    <row r="3" spans="2:6" ht="15" thickBot="1" x14ac:dyDescent="0.35">
      <c r="B3" s="398" t="s">
        <v>484</v>
      </c>
      <c r="C3" s="399" t="s">
        <v>485</v>
      </c>
      <c r="D3" s="400" t="s">
        <v>486</v>
      </c>
      <c r="E3" s="401" t="s">
        <v>487</v>
      </c>
      <c r="F3" s="402" t="s">
        <v>488</v>
      </c>
    </row>
    <row r="4" spans="2:6" ht="15" thickBot="1" x14ac:dyDescent="0.35">
      <c r="B4" s="403" t="s">
        <v>489</v>
      </c>
      <c r="C4" s="404" t="s">
        <v>490</v>
      </c>
      <c r="D4" s="405" t="s">
        <v>491</v>
      </c>
      <c r="E4" s="406" t="s">
        <v>492</v>
      </c>
      <c r="F4" s="407"/>
    </row>
    <row r="5" spans="2:6" ht="15" thickBot="1" x14ac:dyDescent="0.35">
      <c r="B5" s="403" t="s">
        <v>493</v>
      </c>
      <c r="C5" s="404">
        <v>0.3</v>
      </c>
      <c r="D5" s="405">
        <v>0.6</v>
      </c>
      <c r="E5" s="406">
        <v>0.1</v>
      </c>
      <c r="F5" s="407"/>
    </row>
    <row r="6" spans="2:6" ht="43.2" x14ac:dyDescent="0.3">
      <c r="B6" s="742" t="s">
        <v>494</v>
      </c>
      <c r="C6" s="408" t="s">
        <v>495</v>
      </c>
      <c r="D6" s="409" t="s">
        <v>496</v>
      </c>
      <c r="E6" s="411" t="s">
        <v>497</v>
      </c>
      <c r="F6" s="744"/>
    </row>
    <row r="7" spans="2:6" ht="28.8" x14ac:dyDescent="0.3">
      <c r="B7" s="743"/>
      <c r="C7" s="408" t="s">
        <v>498</v>
      </c>
      <c r="D7" s="409" t="s">
        <v>499</v>
      </c>
      <c r="E7" s="411" t="s">
        <v>499</v>
      </c>
      <c r="F7" s="745"/>
    </row>
    <row r="8" spans="2:6" x14ac:dyDescent="0.3">
      <c r="B8" s="743"/>
      <c r="C8" s="408" t="s">
        <v>499</v>
      </c>
      <c r="D8" s="409" t="s">
        <v>500</v>
      </c>
      <c r="E8" s="411" t="s">
        <v>501</v>
      </c>
      <c r="F8" s="745"/>
    </row>
    <row r="9" spans="2:6" ht="15" thickBot="1" x14ac:dyDescent="0.35">
      <c r="B9" s="743"/>
      <c r="C9" s="404" t="s">
        <v>502</v>
      </c>
      <c r="D9" s="410"/>
      <c r="E9" s="412"/>
      <c r="F9" s="746"/>
    </row>
    <row r="10" spans="2:6" ht="29.4" thickBot="1" x14ac:dyDescent="0.35">
      <c r="B10" s="403" t="s">
        <v>503</v>
      </c>
      <c r="C10" s="404" t="s">
        <v>504</v>
      </c>
      <c r="D10" s="405" t="s">
        <v>505</v>
      </c>
      <c r="E10" s="406" t="s">
        <v>506</v>
      </c>
      <c r="F10" s="407"/>
    </row>
    <row r="11" spans="2:6" ht="43.8" thickBot="1" x14ac:dyDescent="0.35">
      <c r="B11" s="413" t="s">
        <v>507</v>
      </c>
      <c r="C11" s="747" t="s">
        <v>508</v>
      </c>
      <c r="D11" s="747"/>
      <c r="E11" s="748"/>
      <c r="F11" s="414" t="s">
        <v>509</v>
      </c>
    </row>
  </sheetData>
  <mergeCells count="3">
    <mergeCell ref="B6:B9"/>
    <mergeCell ref="F6:F9"/>
    <mergeCell ref="C11:E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Q16"/>
  <sheetViews>
    <sheetView workbookViewId="0">
      <selection activeCell="A15" sqref="A15"/>
    </sheetView>
  </sheetViews>
  <sheetFormatPr defaultColWidth="10.77734375" defaultRowHeight="14.4" x14ac:dyDescent="0.3"/>
  <cols>
    <col min="1" max="1" width="100.77734375" customWidth="1"/>
  </cols>
  <sheetData>
    <row r="2" spans="1:43" x14ac:dyDescent="0.3">
      <c r="A2" s="419" t="s">
        <v>510</v>
      </c>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L2" s="416"/>
      <c r="AM2" s="416"/>
      <c r="AN2" s="416"/>
      <c r="AO2" s="416"/>
      <c r="AP2" s="416"/>
      <c r="AQ2" s="416"/>
    </row>
    <row r="4" spans="1:43" ht="27" x14ac:dyDescent="0.3">
      <c r="A4" s="424" t="s">
        <v>511</v>
      </c>
      <c r="B4" s="418"/>
      <c r="C4" s="418"/>
      <c r="D4" s="418"/>
      <c r="E4" s="418"/>
      <c r="F4" s="418"/>
      <c r="G4" s="418"/>
      <c r="H4" s="418"/>
      <c r="I4" s="418"/>
      <c r="J4" s="418"/>
      <c r="K4" s="418"/>
      <c r="L4" s="418"/>
      <c r="M4" s="418"/>
      <c r="N4" s="416"/>
      <c r="O4" s="416"/>
      <c r="P4" s="416"/>
      <c r="Q4" s="416"/>
      <c r="R4" s="416"/>
      <c r="S4" s="416"/>
      <c r="T4" s="416"/>
      <c r="U4" s="416"/>
      <c r="V4" s="416"/>
      <c r="W4" s="416"/>
      <c r="X4" s="416"/>
      <c r="Y4" s="416"/>
      <c r="Z4" s="416"/>
      <c r="AA4" s="416"/>
      <c r="AB4" s="416"/>
      <c r="AC4" s="416"/>
      <c r="AD4" s="416"/>
      <c r="AE4" s="416"/>
      <c r="AF4" s="416"/>
      <c r="AG4" s="416"/>
      <c r="AH4" s="416"/>
      <c r="AI4" s="416"/>
      <c r="AJ4" s="416"/>
      <c r="AK4" s="416"/>
      <c r="AL4" s="416"/>
      <c r="AM4" s="416"/>
      <c r="AN4" s="416"/>
      <c r="AO4" s="416"/>
      <c r="AP4" s="416"/>
      <c r="AQ4" s="416"/>
    </row>
    <row r="5" spans="1:43" x14ac:dyDescent="0.3">
      <c r="A5" s="417"/>
      <c r="B5" s="416"/>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c r="AM5" s="416"/>
      <c r="AN5" s="416"/>
      <c r="AO5" s="416"/>
      <c r="AP5" s="416"/>
      <c r="AQ5" s="416"/>
    </row>
    <row r="6" spans="1:43" x14ac:dyDescent="0.3">
      <c r="A6" s="421" t="s">
        <v>512</v>
      </c>
      <c r="B6" s="416"/>
      <c r="C6" s="416"/>
      <c r="D6" s="416"/>
      <c r="E6" s="416"/>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row>
    <row r="7" spans="1:43" x14ac:dyDescent="0.3">
      <c r="A7" s="422" t="s">
        <v>513</v>
      </c>
      <c r="B7" s="418"/>
      <c r="C7" s="418"/>
      <c r="D7" s="418"/>
      <c r="E7" s="418"/>
      <c r="F7" s="418"/>
      <c r="G7" s="418"/>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c r="AG7" s="418"/>
      <c r="AH7" s="418"/>
      <c r="AI7" s="418"/>
      <c r="AJ7" s="418"/>
      <c r="AK7" s="418"/>
      <c r="AL7" s="418"/>
      <c r="AM7" s="418"/>
      <c r="AN7" s="418"/>
      <c r="AO7" s="418"/>
      <c r="AP7" s="418"/>
      <c r="AQ7" s="418"/>
    </row>
    <row r="8" spans="1:43" x14ac:dyDescent="0.3">
      <c r="A8" s="422" t="s">
        <v>514</v>
      </c>
      <c r="B8" s="416"/>
      <c r="C8" s="416"/>
      <c r="D8" s="416"/>
      <c r="E8" s="416"/>
      <c r="F8" s="416"/>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6"/>
      <c r="AK8" s="416"/>
      <c r="AL8" s="416"/>
      <c r="AM8" s="416"/>
      <c r="AN8" s="416"/>
      <c r="AO8" s="416"/>
      <c r="AP8" s="416"/>
      <c r="AQ8" s="416"/>
    </row>
    <row r="9" spans="1:43" ht="66" x14ac:dyDescent="0.3">
      <c r="A9" s="423" t="s">
        <v>515</v>
      </c>
      <c r="B9" s="416"/>
      <c r="C9" s="416"/>
      <c r="D9" s="416"/>
      <c r="E9" s="416"/>
      <c r="F9" s="416"/>
      <c r="G9" s="416"/>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c r="AG9" s="416"/>
      <c r="AH9" s="416"/>
      <c r="AI9" s="416"/>
      <c r="AJ9" s="416"/>
      <c r="AK9" s="416"/>
      <c r="AL9" s="416"/>
      <c r="AM9" s="416"/>
      <c r="AN9" s="416"/>
      <c r="AO9" s="416"/>
      <c r="AP9" s="416"/>
      <c r="AQ9" s="416"/>
    </row>
    <row r="11" spans="1:43" x14ac:dyDescent="0.3">
      <c r="A11" s="417"/>
      <c r="B11" s="416"/>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c r="AG11" s="416"/>
      <c r="AH11" s="416"/>
      <c r="AI11" s="416"/>
      <c r="AJ11" s="416"/>
      <c r="AK11" s="416"/>
      <c r="AL11" s="416"/>
      <c r="AM11" s="416"/>
      <c r="AN11" s="416"/>
      <c r="AO11" s="416"/>
      <c r="AP11" s="416"/>
      <c r="AQ11" s="416"/>
    </row>
    <row r="12" spans="1:43" ht="53.4" x14ac:dyDescent="0.3">
      <c r="A12" s="420" t="s">
        <v>516</v>
      </c>
      <c r="B12" s="416"/>
      <c r="C12" s="416"/>
      <c r="D12" s="416"/>
      <c r="E12" s="416"/>
      <c r="F12" s="416"/>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c r="AD12" s="416"/>
      <c r="AE12" s="416"/>
      <c r="AF12" s="416"/>
      <c r="AG12" s="416"/>
      <c r="AH12" s="416"/>
      <c r="AI12" s="416"/>
      <c r="AJ12" s="416"/>
      <c r="AK12" s="416"/>
      <c r="AL12" s="416"/>
      <c r="AM12" s="416"/>
      <c r="AN12" s="416"/>
      <c r="AO12" s="416"/>
      <c r="AP12" s="416"/>
      <c r="AQ12" s="416"/>
    </row>
    <row r="13" spans="1:43" x14ac:dyDescent="0.3">
      <c r="A13" s="418"/>
      <c r="B13" s="416"/>
      <c r="C13" s="416"/>
      <c r="D13" s="416"/>
      <c r="E13" s="416"/>
      <c r="F13" s="416"/>
      <c r="G13" s="416"/>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6"/>
      <c r="AG13" s="416"/>
      <c r="AH13" s="416"/>
      <c r="AI13" s="416"/>
      <c r="AJ13" s="416"/>
      <c r="AK13" s="416"/>
      <c r="AL13" s="416"/>
      <c r="AM13" s="416"/>
      <c r="AN13" s="416"/>
      <c r="AO13" s="416"/>
      <c r="AP13" s="416"/>
      <c r="AQ13" s="416"/>
    </row>
    <row r="14" spans="1:43" x14ac:dyDescent="0.3">
      <c r="A14" s="419" t="s">
        <v>517</v>
      </c>
      <c r="B14" s="416"/>
      <c r="C14" s="416"/>
      <c r="D14" s="416"/>
      <c r="E14" s="416"/>
      <c r="F14" s="416"/>
      <c r="G14" s="416"/>
      <c r="H14" s="416"/>
      <c r="I14" s="416"/>
      <c r="J14" s="416"/>
      <c r="K14" s="416"/>
      <c r="L14" s="416"/>
      <c r="M14" s="416"/>
      <c r="N14" s="416"/>
      <c r="O14" s="416"/>
      <c r="P14" s="416"/>
      <c r="Q14" s="416"/>
      <c r="R14" s="416"/>
      <c r="S14" s="416"/>
      <c r="T14" s="416"/>
      <c r="U14" s="416"/>
      <c r="V14" s="416"/>
      <c r="W14" s="416"/>
      <c r="X14" s="416"/>
      <c r="Y14" s="416"/>
      <c r="Z14" s="416"/>
      <c r="AA14" s="416"/>
      <c r="AB14" s="416"/>
      <c r="AC14" s="416"/>
      <c r="AD14" s="416"/>
      <c r="AE14" s="416"/>
      <c r="AF14" s="416"/>
      <c r="AG14" s="416"/>
      <c r="AH14" s="416"/>
      <c r="AI14" s="416"/>
      <c r="AJ14" s="416"/>
      <c r="AK14" s="416"/>
      <c r="AL14" s="416"/>
      <c r="AM14" s="416"/>
      <c r="AN14" s="416"/>
      <c r="AO14" s="416"/>
      <c r="AP14" s="416"/>
      <c r="AQ14" s="416"/>
    </row>
    <row r="16" spans="1:43" x14ac:dyDescent="0.3">
      <c r="A16" s="420" t="s">
        <v>518</v>
      </c>
      <c r="B16" s="416"/>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c r="AM16" s="416"/>
      <c r="AN16" s="416"/>
      <c r="AO16" s="416"/>
      <c r="AP16" s="416"/>
      <c r="AQ16" s="41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59"/>
  <sheetViews>
    <sheetView workbookViewId="0">
      <pane xSplit="1" ySplit="2" topLeftCell="G37" activePane="bottomRight" state="frozen"/>
      <selection pane="topRight" activeCell="B1" sqref="B1"/>
      <selection pane="bottomLeft" activeCell="A3" sqref="A3"/>
      <selection pane="bottomRight" activeCell="W59" sqref="W59"/>
    </sheetView>
  </sheetViews>
  <sheetFormatPr defaultColWidth="9.21875" defaultRowHeight="14.4" x14ac:dyDescent="0.3"/>
  <cols>
    <col min="1" max="1" width="20.77734375" style="204" customWidth="1"/>
    <col min="2" max="2" width="20.77734375" style="202" customWidth="1"/>
    <col min="3" max="3" width="9.5546875" style="202" bestFit="1" customWidth="1"/>
    <col min="4" max="4" width="13.77734375" style="203" bestFit="1" customWidth="1"/>
    <col min="5" max="7" width="9.21875" style="202" customWidth="1"/>
    <col min="8" max="10" width="9.21875" style="202"/>
    <col min="11" max="11" width="13.77734375" style="203" customWidth="1"/>
    <col min="12" max="12" width="9.21875" style="202" customWidth="1"/>
    <col min="13" max="13" width="13.77734375" style="203" bestFit="1" customWidth="1"/>
    <col min="14" max="14" width="9.21875" style="202" customWidth="1"/>
    <col min="15" max="17" width="9.21875" style="202"/>
    <col min="18" max="18" width="9.21875" style="203" customWidth="1"/>
    <col min="19" max="19" width="9.21875" style="202" customWidth="1"/>
    <col min="20" max="22" width="9.21875" style="202" hidden="1" customWidth="1"/>
    <col min="23" max="24" width="9.21875" style="202" customWidth="1"/>
    <col min="25" max="27" width="9.21875" style="202"/>
    <col min="28" max="29" width="18" style="203" bestFit="1" customWidth="1"/>
    <col min="30" max="30" width="18" style="203" customWidth="1"/>
    <col min="31" max="16384" width="9.21875" style="202"/>
  </cols>
  <sheetData>
    <row r="1" spans="1:30" x14ac:dyDescent="0.3">
      <c r="A1" s="253"/>
      <c r="B1" s="251"/>
      <c r="C1" s="488" t="s">
        <v>598</v>
      </c>
      <c r="D1" s="760" t="s">
        <v>602</v>
      </c>
      <c r="E1" s="760"/>
      <c r="F1" s="761"/>
      <c r="G1" s="760"/>
      <c r="H1" s="760"/>
      <c r="I1" s="760"/>
      <c r="J1" s="760"/>
      <c r="K1" s="756" t="s">
        <v>601</v>
      </c>
      <c r="L1" s="756"/>
      <c r="M1" s="756"/>
      <c r="N1" s="756"/>
      <c r="O1" s="756"/>
      <c r="P1" s="756"/>
      <c r="Q1" s="757"/>
      <c r="R1" s="758" t="s">
        <v>214</v>
      </c>
      <c r="S1" s="758"/>
      <c r="T1" s="759"/>
      <c r="U1" s="759"/>
      <c r="V1" s="759"/>
      <c r="W1" s="759"/>
      <c r="X1" s="758"/>
      <c r="Y1" s="758"/>
      <c r="Z1" s="758"/>
      <c r="AA1" s="758"/>
      <c r="AB1" s="758" t="s">
        <v>215</v>
      </c>
      <c r="AC1" s="758"/>
      <c r="AD1" s="758"/>
    </row>
    <row r="2" spans="1:30" x14ac:dyDescent="0.3">
      <c r="A2" s="253" t="s">
        <v>126</v>
      </c>
      <c r="B2" s="251" t="s">
        <v>132</v>
      </c>
      <c r="C2" s="454" t="s">
        <v>599</v>
      </c>
      <c r="E2" s="284" t="s">
        <v>198</v>
      </c>
      <c r="F2" s="254" t="s">
        <v>199</v>
      </c>
      <c r="G2" s="254" t="s">
        <v>194</v>
      </c>
      <c r="H2" s="254" t="s">
        <v>195</v>
      </c>
      <c r="I2" s="254" t="s">
        <v>196</v>
      </c>
      <c r="J2" s="254" t="s">
        <v>197</v>
      </c>
      <c r="K2" s="481" t="s">
        <v>600</v>
      </c>
      <c r="L2" s="481" t="s">
        <v>198</v>
      </c>
      <c r="M2" s="254" t="s">
        <v>199</v>
      </c>
      <c r="N2" s="254" t="s">
        <v>194</v>
      </c>
      <c r="O2" s="254" t="s">
        <v>195</v>
      </c>
      <c r="P2" s="254" t="s">
        <v>196</v>
      </c>
      <c r="Q2" s="254" t="s">
        <v>197</v>
      </c>
      <c r="R2" s="452" t="s">
        <v>603</v>
      </c>
      <c r="S2" s="481" t="s">
        <v>198</v>
      </c>
      <c r="T2" s="254" t="s">
        <v>210</v>
      </c>
      <c r="U2" s="254" t="s">
        <v>211</v>
      </c>
      <c r="V2" s="254" t="s">
        <v>212</v>
      </c>
      <c r="W2" s="254" t="s">
        <v>199</v>
      </c>
      <c r="X2" s="254" t="s">
        <v>194</v>
      </c>
      <c r="Y2" s="254" t="s">
        <v>195</v>
      </c>
      <c r="Z2" s="254" t="s">
        <v>196</v>
      </c>
      <c r="AA2" s="254" t="s">
        <v>197</v>
      </c>
      <c r="AB2" s="284" t="s">
        <v>216</v>
      </c>
      <c r="AC2" s="284" t="s">
        <v>217</v>
      </c>
      <c r="AD2" s="284" t="s">
        <v>213</v>
      </c>
    </row>
    <row r="3" spans="1:30" x14ac:dyDescent="0.3">
      <c r="A3" s="750" t="s">
        <v>127</v>
      </c>
      <c r="B3" s="205" t="s">
        <v>133</v>
      </c>
      <c r="C3" s="750">
        <v>1</v>
      </c>
      <c r="E3" s="283">
        <f t="shared" ref="E3:E34" si="0">SUM(G3:J3)/4</f>
        <v>1</v>
      </c>
      <c r="F3" s="258">
        <v>1</v>
      </c>
      <c r="G3" s="258">
        <f t="shared" ref="G3:J22" si="1">$F3</f>
        <v>1</v>
      </c>
      <c r="H3" s="258">
        <f t="shared" si="1"/>
        <v>1</v>
      </c>
      <c r="I3" s="258">
        <f t="shared" si="1"/>
        <v>1</v>
      </c>
      <c r="J3" s="258">
        <f t="shared" si="1"/>
        <v>1</v>
      </c>
      <c r="K3" s="480">
        <v>24</v>
      </c>
      <c r="L3" s="480">
        <f t="shared" ref="L3:L34" si="2">SUM(N3:Q3)/4</f>
        <v>24</v>
      </c>
      <c r="M3" s="258">
        <v>24</v>
      </c>
      <c r="N3" s="258">
        <f t="shared" ref="N3:Q22" si="3">$M3</f>
        <v>24</v>
      </c>
      <c r="O3" s="258">
        <f t="shared" si="3"/>
        <v>24</v>
      </c>
      <c r="P3" s="258">
        <f t="shared" si="3"/>
        <v>24</v>
      </c>
      <c r="Q3" s="258">
        <f t="shared" si="3"/>
        <v>24</v>
      </c>
      <c r="R3" s="452">
        <v>33</v>
      </c>
      <c r="S3" s="480">
        <f>SUM(X3:AA3)/4</f>
        <v>42</v>
      </c>
      <c r="T3" s="258">
        <v>24</v>
      </c>
      <c r="U3" s="258">
        <v>1</v>
      </c>
      <c r="V3" s="258">
        <v>17</v>
      </c>
      <c r="W3" s="258">
        <f>SUM(T3:V3)</f>
        <v>42</v>
      </c>
      <c r="X3" s="258">
        <f t="shared" ref="X3:AA22" si="4">$W3</f>
        <v>42</v>
      </c>
      <c r="Y3" s="258">
        <f t="shared" si="4"/>
        <v>42</v>
      </c>
      <c r="Z3" s="258">
        <f t="shared" si="4"/>
        <v>42</v>
      </c>
      <c r="AA3" s="258">
        <f t="shared" si="4"/>
        <v>42</v>
      </c>
      <c r="AB3" s="283">
        <f t="shared" ref="AB3:AB34" si="5">F3</f>
        <v>1</v>
      </c>
      <c r="AC3" s="283">
        <f t="shared" ref="AC3:AC34" si="6">F3*4</f>
        <v>4</v>
      </c>
      <c r="AD3" s="283">
        <f t="shared" ref="AD3:AD34" si="7">SUM(AB3:AC3)</f>
        <v>5</v>
      </c>
    </row>
    <row r="4" spans="1:30" x14ac:dyDescent="0.3">
      <c r="A4" s="750"/>
      <c r="B4" s="205" t="s">
        <v>134</v>
      </c>
      <c r="C4" s="750"/>
      <c r="E4" s="283">
        <f t="shared" si="0"/>
        <v>1</v>
      </c>
      <c r="F4" s="258">
        <v>1</v>
      </c>
      <c r="G4" s="258">
        <f t="shared" si="1"/>
        <v>1</v>
      </c>
      <c r="H4" s="258">
        <f t="shared" si="1"/>
        <v>1</v>
      </c>
      <c r="I4" s="258">
        <f t="shared" si="1"/>
        <v>1</v>
      </c>
      <c r="J4" s="258">
        <f t="shared" si="1"/>
        <v>1</v>
      </c>
      <c r="K4" s="480">
        <v>10</v>
      </c>
      <c r="L4" s="480">
        <f t="shared" si="2"/>
        <v>11</v>
      </c>
      <c r="M4" s="258">
        <v>11</v>
      </c>
      <c r="N4" s="258">
        <f t="shared" si="3"/>
        <v>11</v>
      </c>
      <c r="O4" s="258">
        <f t="shared" si="3"/>
        <v>11</v>
      </c>
      <c r="P4" s="258">
        <f t="shared" si="3"/>
        <v>11</v>
      </c>
      <c r="Q4" s="258">
        <f t="shared" si="3"/>
        <v>11</v>
      </c>
      <c r="R4" s="452">
        <v>21</v>
      </c>
      <c r="S4" s="480">
        <f t="shared" ref="S4:S54" si="8">SUM(X4:AA4)/4</f>
        <v>25</v>
      </c>
      <c r="T4" s="258">
        <v>11</v>
      </c>
      <c r="U4" s="258">
        <v>1</v>
      </c>
      <c r="V4" s="258">
        <v>13</v>
      </c>
      <c r="W4" s="258">
        <f t="shared" ref="W4:W54" si="9">SUM(T4:V4)</f>
        <v>25</v>
      </c>
      <c r="X4" s="258">
        <f t="shared" si="4"/>
        <v>25</v>
      </c>
      <c r="Y4" s="258">
        <f t="shared" si="4"/>
        <v>25</v>
      </c>
      <c r="Z4" s="258">
        <f t="shared" si="4"/>
        <v>25</v>
      </c>
      <c r="AA4" s="258">
        <f t="shared" si="4"/>
        <v>25</v>
      </c>
      <c r="AB4" s="283">
        <f t="shared" si="5"/>
        <v>1</v>
      </c>
      <c r="AC4" s="283">
        <f t="shared" si="6"/>
        <v>4</v>
      </c>
      <c r="AD4" s="283">
        <f t="shared" si="7"/>
        <v>5</v>
      </c>
    </row>
    <row r="5" spans="1:30" x14ac:dyDescent="0.3">
      <c r="A5" s="750"/>
      <c r="B5" s="205" t="s">
        <v>135</v>
      </c>
      <c r="C5" s="750"/>
      <c r="E5" s="283">
        <f t="shared" si="0"/>
        <v>1</v>
      </c>
      <c r="F5" s="258">
        <v>1</v>
      </c>
      <c r="G5" s="258">
        <f t="shared" si="1"/>
        <v>1</v>
      </c>
      <c r="H5" s="258">
        <f t="shared" si="1"/>
        <v>1</v>
      </c>
      <c r="I5" s="258">
        <f t="shared" si="1"/>
        <v>1</v>
      </c>
      <c r="J5" s="258">
        <f t="shared" si="1"/>
        <v>1</v>
      </c>
      <c r="K5" s="480">
        <v>22</v>
      </c>
      <c r="L5" s="480">
        <f t="shared" si="2"/>
        <v>22</v>
      </c>
      <c r="M5" s="258">
        <v>22</v>
      </c>
      <c r="N5" s="258">
        <f t="shared" si="3"/>
        <v>22</v>
      </c>
      <c r="O5" s="258">
        <f t="shared" si="3"/>
        <v>22</v>
      </c>
      <c r="P5" s="258">
        <f t="shared" si="3"/>
        <v>22</v>
      </c>
      <c r="Q5" s="258">
        <f t="shared" si="3"/>
        <v>22</v>
      </c>
      <c r="R5" s="452">
        <v>30</v>
      </c>
      <c r="S5" s="480">
        <f t="shared" si="8"/>
        <v>37</v>
      </c>
      <c r="T5" s="258">
        <v>22</v>
      </c>
      <c r="U5" s="258">
        <v>1</v>
      </c>
      <c r="V5" s="258">
        <v>14</v>
      </c>
      <c r="W5" s="258">
        <f t="shared" si="9"/>
        <v>37</v>
      </c>
      <c r="X5" s="258">
        <f t="shared" si="4"/>
        <v>37</v>
      </c>
      <c r="Y5" s="258">
        <f t="shared" si="4"/>
        <v>37</v>
      </c>
      <c r="Z5" s="258">
        <f t="shared" si="4"/>
        <v>37</v>
      </c>
      <c r="AA5" s="258">
        <f t="shared" si="4"/>
        <v>37</v>
      </c>
      <c r="AB5" s="283">
        <f t="shared" si="5"/>
        <v>1</v>
      </c>
      <c r="AC5" s="283">
        <f t="shared" si="6"/>
        <v>4</v>
      </c>
      <c r="AD5" s="283">
        <f t="shared" si="7"/>
        <v>5</v>
      </c>
    </row>
    <row r="6" spans="1:30" x14ac:dyDescent="0.3">
      <c r="A6" s="750"/>
      <c r="B6" s="205" t="s">
        <v>136</v>
      </c>
      <c r="C6" s="750"/>
      <c r="E6" s="283">
        <f t="shared" si="0"/>
        <v>1</v>
      </c>
      <c r="F6" s="258">
        <v>1</v>
      </c>
      <c r="G6" s="258">
        <f t="shared" si="1"/>
        <v>1</v>
      </c>
      <c r="H6" s="258">
        <f t="shared" si="1"/>
        <v>1</v>
      </c>
      <c r="I6" s="258">
        <f t="shared" si="1"/>
        <v>1</v>
      </c>
      <c r="J6" s="258">
        <f t="shared" si="1"/>
        <v>1</v>
      </c>
      <c r="K6" s="480">
        <v>13</v>
      </c>
      <c r="L6" s="480">
        <f t="shared" si="2"/>
        <v>13</v>
      </c>
      <c r="M6" s="258">
        <v>13</v>
      </c>
      <c r="N6" s="258">
        <f t="shared" si="3"/>
        <v>13</v>
      </c>
      <c r="O6" s="258">
        <f t="shared" si="3"/>
        <v>13</v>
      </c>
      <c r="P6" s="258">
        <f t="shared" si="3"/>
        <v>13</v>
      </c>
      <c r="Q6" s="258">
        <f t="shared" si="3"/>
        <v>13</v>
      </c>
      <c r="R6" s="452">
        <v>24</v>
      </c>
      <c r="S6" s="480">
        <f t="shared" si="8"/>
        <v>32</v>
      </c>
      <c r="T6" s="258">
        <v>13</v>
      </c>
      <c r="U6" s="258">
        <v>1</v>
      </c>
      <c r="V6" s="258">
        <v>18</v>
      </c>
      <c r="W6" s="258">
        <f t="shared" si="9"/>
        <v>32</v>
      </c>
      <c r="X6" s="258">
        <f t="shared" si="4"/>
        <v>32</v>
      </c>
      <c r="Y6" s="258">
        <f t="shared" si="4"/>
        <v>32</v>
      </c>
      <c r="Z6" s="258">
        <f t="shared" si="4"/>
        <v>32</v>
      </c>
      <c r="AA6" s="258">
        <f t="shared" si="4"/>
        <v>32</v>
      </c>
      <c r="AB6" s="283">
        <f t="shared" si="5"/>
        <v>1</v>
      </c>
      <c r="AC6" s="283">
        <f t="shared" si="6"/>
        <v>4</v>
      </c>
      <c r="AD6" s="283">
        <f t="shared" si="7"/>
        <v>5</v>
      </c>
    </row>
    <row r="7" spans="1:30" x14ac:dyDescent="0.3">
      <c r="A7" s="750"/>
      <c r="B7" s="205" t="s">
        <v>137</v>
      </c>
      <c r="C7" s="750"/>
      <c r="E7" s="283">
        <f t="shared" si="0"/>
        <v>1</v>
      </c>
      <c r="F7" s="258">
        <v>1</v>
      </c>
      <c r="G7" s="258">
        <f t="shared" si="1"/>
        <v>1</v>
      </c>
      <c r="H7" s="258">
        <f t="shared" si="1"/>
        <v>1</v>
      </c>
      <c r="I7" s="258">
        <f t="shared" si="1"/>
        <v>1</v>
      </c>
      <c r="J7" s="258">
        <f t="shared" si="1"/>
        <v>1</v>
      </c>
      <c r="K7" s="480">
        <v>9</v>
      </c>
      <c r="L7" s="480">
        <f t="shared" si="2"/>
        <v>9</v>
      </c>
      <c r="M7" s="258">
        <v>9</v>
      </c>
      <c r="N7" s="258">
        <f t="shared" si="3"/>
        <v>9</v>
      </c>
      <c r="O7" s="258">
        <f t="shared" si="3"/>
        <v>9</v>
      </c>
      <c r="P7" s="258">
        <f t="shared" si="3"/>
        <v>9</v>
      </c>
      <c r="Q7" s="258">
        <f t="shared" si="3"/>
        <v>9</v>
      </c>
      <c r="R7" s="452">
        <v>27</v>
      </c>
      <c r="S7" s="480">
        <f t="shared" si="8"/>
        <v>28</v>
      </c>
      <c r="T7" s="258">
        <v>9</v>
      </c>
      <c r="U7" s="258">
        <v>1</v>
      </c>
      <c r="V7" s="258">
        <v>18</v>
      </c>
      <c r="W7" s="258">
        <f t="shared" si="9"/>
        <v>28</v>
      </c>
      <c r="X7" s="258">
        <f t="shared" si="4"/>
        <v>28</v>
      </c>
      <c r="Y7" s="258">
        <f t="shared" si="4"/>
        <v>28</v>
      </c>
      <c r="Z7" s="258">
        <f t="shared" si="4"/>
        <v>28</v>
      </c>
      <c r="AA7" s="258">
        <f t="shared" si="4"/>
        <v>28</v>
      </c>
      <c r="AB7" s="283">
        <f t="shared" si="5"/>
        <v>1</v>
      </c>
      <c r="AC7" s="283">
        <f t="shared" si="6"/>
        <v>4</v>
      </c>
      <c r="AD7" s="283">
        <f t="shared" si="7"/>
        <v>5</v>
      </c>
    </row>
    <row r="8" spans="1:30" x14ac:dyDescent="0.3">
      <c r="A8" s="750"/>
      <c r="B8" s="205" t="s">
        <v>138</v>
      </c>
      <c r="C8" s="750"/>
      <c r="E8" s="283">
        <f t="shared" si="0"/>
        <v>1</v>
      </c>
      <c r="F8" s="258">
        <v>1</v>
      </c>
      <c r="G8" s="258">
        <f t="shared" si="1"/>
        <v>1</v>
      </c>
      <c r="H8" s="258">
        <f t="shared" si="1"/>
        <v>1</v>
      </c>
      <c r="I8" s="258">
        <f t="shared" si="1"/>
        <v>1</v>
      </c>
      <c r="J8" s="258">
        <f t="shared" si="1"/>
        <v>1</v>
      </c>
      <c r="K8" s="480">
        <v>10</v>
      </c>
      <c r="L8" s="480">
        <f t="shared" si="2"/>
        <v>11</v>
      </c>
      <c r="M8" s="258">
        <v>11</v>
      </c>
      <c r="N8" s="258">
        <f t="shared" si="3"/>
        <v>11</v>
      </c>
      <c r="O8" s="258">
        <f t="shared" si="3"/>
        <v>11</v>
      </c>
      <c r="P8" s="258">
        <f t="shared" si="3"/>
        <v>11</v>
      </c>
      <c r="Q8" s="258">
        <f t="shared" si="3"/>
        <v>11</v>
      </c>
      <c r="R8" s="452">
        <v>17</v>
      </c>
      <c r="S8" s="480">
        <f t="shared" si="8"/>
        <v>18</v>
      </c>
      <c r="T8" s="258">
        <v>11</v>
      </c>
      <c r="U8" s="258">
        <v>1</v>
      </c>
      <c r="V8" s="258">
        <v>6</v>
      </c>
      <c r="W8" s="258">
        <f t="shared" si="9"/>
        <v>18</v>
      </c>
      <c r="X8" s="258">
        <f t="shared" si="4"/>
        <v>18</v>
      </c>
      <c r="Y8" s="258">
        <f t="shared" si="4"/>
        <v>18</v>
      </c>
      <c r="Z8" s="258">
        <f t="shared" si="4"/>
        <v>18</v>
      </c>
      <c r="AA8" s="258">
        <f t="shared" si="4"/>
        <v>18</v>
      </c>
      <c r="AB8" s="283">
        <f t="shared" si="5"/>
        <v>1</v>
      </c>
      <c r="AC8" s="283">
        <f t="shared" si="6"/>
        <v>4</v>
      </c>
      <c r="AD8" s="283">
        <f t="shared" si="7"/>
        <v>5</v>
      </c>
    </row>
    <row r="9" spans="1:30" x14ac:dyDescent="0.3">
      <c r="A9" s="750"/>
      <c r="B9" s="205" t="s">
        <v>139</v>
      </c>
      <c r="C9" s="750"/>
      <c r="E9" s="283">
        <f t="shared" si="0"/>
        <v>1</v>
      </c>
      <c r="F9" s="258">
        <v>1</v>
      </c>
      <c r="G9" s="258">
        <f t="shared" si="1"/>
        <v>1</v>
      </c>
      <c r="H9" s="258">
        <f t="shared" si="1"/>
        <v>1</v>
      </c>
      <c r="I9" s="258">
        <f t="shared" si="1"/>
        <v>1</v>
      </c>
      <c r="J9" s="258">
        <f t="shared" si="1"/>
        <v>1</v>
      </c>
      <c r="K9" s="480">
        <v>17</v>
      </c>
      <c r="L9" s="480">
        <f t="shared" si="2"/>
        <v>17</v>
      </c>
      <c r="M9" s="258">
        <v>17</v>
      </c>
      <c r="N9" s="258">
        <f t="shared" si="3"/>
        <v>17</v>
      </c>
      <c r="O9" s="258">
        <f t="shared" si="3"/>
        <v>17</v>
      </c>
      <c r="P9" s="258">
        <f t="shared" si="3"/>
        <v>17</v>
      </c>
      <c r="Q9" s="258">
        <f t="shared" si="3"/>
        <v>17</v>
      </c>
      <c r="R9" s="452">
        <v>22</v>
      </c>
      <c r="S9" s="480">
        <f t="shared" si="8"/>
        <v>27</v>
      </c>
      <c r="T9" s="258">
        <v>17</v>
      </c>
      <c r="U9" s="258">
        <v>1</v>
      </c>
      <c r="V9" s="258">
        <v>9</v>
      </c>
      <c r="W9" s="258">
        <f t="shared" si="9"/>
        <v>27</v>
      </c>
      <c r="X9" s="258">
        <f t="shared" si="4"/>
        <v>27</v>
      </c>
      <c r="Y9" s="258">
        <f t="shared" si="4"/>
        <v>27</v>
      </c>
      <c r="Z9" s="258">
        <f t="shared" si="4"/>
        <v>27</v>
      </c>
      <c r="AA9" s="258">
        <f t="shared" si="4"/>
        <v>27</v>
      </c>
      <c r="AB9" s="283">
        <f t="shared" si="5"/>
        <v>1</v>
      </c>
      <c r="AC9" s="283">
        <f t="shared" si="6"/>
        <v>4</v>
      </c>
      <c r="AD9" s="283">
        <f t="shared" si="7"/>
        <v>5</v>
      </c>
    </row>
    <row r="10" spans="1:30" x14ac:dyDescent="0.3">
      <c r="A10" s="750"/>
      <c r="B10" s="205" t="s">
        <v>140</v>
      </c>
      <c r="C10" s="750"/>
      <c r="E10" s="283">
        <f t="shared" si="0"/>
        <v>1</v>
      </c>
      <c r="F10" s="258">
        <v>1</v>
      </c>
      <c r="G10" s="258">
        <f t="shared" si="1"/>
        <v>1</v>
      </c>
      <c r="H10" s="258">
        <f t="shared" si="1"/>
        <v>1</v>
      </c>
      <c r="I10" s="258">
        <f t="shared" si="1"/>
        <v>1</v>
      </c>
      <c r="J10" s="258">
        <f t="shared" si="1"/>
        <v>1</v>
      </c>
      <c r="K10" s="480">
        <v>10</v>
      </c>
      <c r="L10" s="480">
        <f t="shared" si="2"/>
        <v>11</v>
      </c>
      <c r="M10" s="258">
        <v>11</v>
      </c>
      <c r="N10" s="258">
        <f t="shared" si="3"/>
        <v>11</v>
      </c>
      <c r="O10" s="258">
        <f t="shared" si="3"/>
        <v>11</v>
      </c>
      <c r="P10" s="258">
        <f t="shared" si="3"/>
        <v>11</v>
      </c>
      <c r="Q10" s="258">
        <f t="shared" si="3"/>
        <v>11</v>
      </c>
      <c r="R10" s="452">
        <v>20</v>
      </c>
      <c r="S10" s="480">
        <f t="shared" si="8"/>
        <v>23</v>
      </c>
      <c r="T10" s="258">
        <v>11</v>
      </c>
      <c r="U10" s="258">
        <v>1</v>
      </c>
      <c r="V10" s="258">
        <v>11</v>
      </c>
      <c r="W10" s="258">
        <f t="shared" si="9"/>
        <v>23</v>
      </c>
      <c r="X10" s="258">
        <f t="shared" si="4"/>
        <v>23</v>
      </c>
      <c r="Y10" s="258">
        <f t="shared" si="4"/>
        <v>23</v>
      </c>
      <c r="Z10" s="258">
        <f t="shared" si="4"/>
        <v>23</v>
      </c>
      <c r="AA10" s="258">
        <f t="shared" si="4"/>
        <v>23</v>
      </c>
      <c r="AB10" s="283">
        <f t="shared" si="5"/>
        <v>1</v>
      </c>
      <c r="AC10" s="283">
        <f t="shared" si="6"/>
        <v>4</v>
      </c>
      <c r="AD10" s="283">
        <f t="shared" si="7"/>
        <v>5</v>
      </c>
    </row>
    <row r="11" spans="1:30" x14ac:dyDescent="0.3">
      <c r="A11" s="750"/>
      <c r="B11" s="205" t="s">
        <v>141</v>
      </c>
      <c r="C11" s="750"/>
      <c r="E11" s="283">
        <f t="shared" si="0"/>
        <v>1</v>
      </c>
      <c r="F11" s="258">
        <v>1</v>
      </c>
      <c r="G11" s="258">
        <f t="shared" si="1"/>
        <v>1</v>
      </c>
      <c r="H11" s="258">
        <f t="shared" si="1"/>
        <v>1</v>
      </c>
      <c r="I11" s="258">
        <f t="shared" si="1"/>
        <v>1</v>
      </c>
      <c r="J11" s="258">
        <f t="shared" si="1"/>
        <v>1</v>
      </c>
      <c r="K11" s="480">
        <v>15</v>
      </c>
      <c r="L11" s="480">
        <f t="shared" si="2"/>
        <v>15</v>
      </c>
      <c r="M11" s="258">
        <v>15</v>
      </c>
      <c r="N11" s="258">
        <f t="shared" si="3"/>
        <v>15</v>
      </c>
      <c r="O11" s="258">
        <f t="shared" si="3"/>
        <v>15</v>
      </c>
      <c r="P11" s="258">
        <f t="shared" si="3"/>
        <v>15</v>
      </c>
      <c r="Q11" s="258">
        <f t="shared" si="3"/>
        <v>15</v>
      </c>
      <c r="R11" s="452">
        <v>21</v>
      </c>
      <c r="S11" s="480">
        <f t="shared" si="8"/>
        <v>22</v>
      </c>
      <c r="T11" s="258">
        <v>15</v>
      </c>
      <c r="U11" s="258">
        <v>1</v>
      </c>
      <c r="V11" s="258">
        <v>6</v>
      </c>
      <c r="W11" s="258">
        <f t="shared" si="9"/>
        <v>22</v>
      </c>
      <c r="X11" s="258">
        <f t="shared" si="4"/>
        <v>22</v>
      </c>
      <c r="Y11" s="258">
        <f t="shared" si="4"/>
        <v>22</v>
      </c>
      <c r="Z11" s="258">
        <f t="shared" si="4"/>
        <v>22</v>
      </c>
      <c r="AA11" s="258">
        <f t="shared" si="4"/>
        <v>22</v>
      </c>
      <c r="AB11" s="283">
        <f t="shared" si="5"/>
        <v>1</v>
      </c>
      <c r="AC11" s="283">
        <f t="shared" si="6"/>
        <v>4</v>
      </c>
      <c r="AD11" s="283">
        <f t="shared" si="7"/>
        <v>5</v>
      </c>
    </row>
    <row r="12" spans="1:30" x14ac:dyDescent="0.3">
      <c r="A12" s="750"/>
      <c r="B12" s="205" t="s">
        <v>142</v>
      </c>
      <c r="C12" s="750"/>
      <c r="E12" s="283">
        <f t="shared" si="0"/>
        <v>1</v>
      </c>
      <c r="F12" s="258">
        <v>1</v>
      </c>
      <c r="G12" s="258">
        <f t="shared" si="1"/>
        <v>1</v>
      </c>
      <c r="H12" s="258">
        <f t="shared" si="1"/>
        <v>1</v>
      </c>
      <c r="I12" s="258">
        <f t="shared" si="1"/>
        <v>1</v>
      </c>
      <c r="J12" s="258">
        <f t="shared" si="1"/>
        <v>1</v>
      </c>
      <c r="K12" s="480">
        <v>8</v>
      </c>
      <c r="L12" s="480">
        <f t="shared" si="2"/>
        <v>8</v>
      </c>
      <c r="M12" s="258">
        <v>8</v>
      </c>
      <c r="N12" s="258">
        <f t="shared" si="3"/>
        <v>8</v>
      </c>
      <c r="O12" s="258">
        <f t="shared" si="3"/>
        <v>8</v>
      </c>
      <c r="P12" s="258">
        <f t="shared" si="3"/>
        <v>8</v>
      </c>
      <c r="Q12" s="258">
        <f t="shared" si="3"/>
        <v>8</v>
      </c>
      <c r="R12" s="452">
        <v>16</v>
      </c>
      <c r="S12" s="480">
        <f t="shared" si="8"/>
        <v>18</v>
      </c>
      <c r="T12" s="258">
        <v>8</v>
      </c>
      <c r="U12" s="258">
        <v>1</v>
      </c>
      <c r="V12" s="258">
        <v>9</v>
      </c>
      <c r="W12" s="258">
        <f t="shared" si="9"/>
        <v>18</v>
      </c>
      <c r="X12" s="258">
        <f t="shared" si="4"/>
        <v>18</v>
      </c>
      <c r="Y12" s="258">
        <f t="shared" si="4"/>
        <v>18</v>
      </c>
      <c r="Z12" s="258">
        <f t="shared" si="4"/>
        <v>18</v>
      </c>
      <c r="AA12" s="258">
        <f t="shared" si="4"/>
        <v>18</v>
      </c>
      <c r="AB12" s="283">
        <f t="shared" si="5"/>
        <v>1</v>
      </c>
      <c r="AC12" s="283">
        <f t="shared" si="6"/>
        <v>4</v>
      </c>
      <c r="AD12" s="283">
        <f t="shared" si="7"/>
        <v>5</v>
      </c>
    </row>
    <row r="13" spans="1:30" x14ac:dyDescent="0.3">
      <c r="A13" s="750"/>
      <c r="B13" s="205" t="s">
        <v>143</v>
      </c>
      <c r="C13" s="750"/>
      <c r="E13" s="283">
        <f t="shared" si="0"/>
        <v>1</v>
      </c>
      <c r="F13" s="258">
        <v>1</v>
      </c>
      <c r="G13" s="258">
        <f t="shared" si="1"/>
        <v>1</v>
      </c>
      <c r="H13" s="258">
        <f t="shared" si="1"/>
        <v>1</v>
      </c>
      <c r="I13" s="258">
        <f t="shared" si="1"/>
        <v>1</v>
      </c>
      <c r="J13" s="258">
        <f t="shared" si="1"/>
        <v>1</v>
      </c>
      <c r="K13" s="480">
        <v>12</v>
      </c>
      <c r="L13" s="480">
        <f t="shared" si="2"/>
        <v>12</v>
      </c>
      <c r="M13" s="258">
        <v>12</v>
      </c>
      <c r="N13" s="258">
        <f t="shared" si="3"/>
        <v>12</v>
      </c>
      <c r="O13" s="258">
        <f t="shared" si="3"/>
        <v>12</v>
      </c>
      <c r="P13" s="258">
        <f t="shared" si="3"/>
        <v>12</v>
      </c>
      <c r="Q13" s="258">
        <f t="shared" si="3"/>
        <v>12</v>
      </c>
      <c r="R13" s="452">
        <v>16</v>
      </c>
      <c r="S13" s="480">
        <f t="shared" si="8"/>
        <v>35</v>
      </c>
      <c r="T13" s="258">
        <v>12</v>
      </c>
      <c r="U13" s="258">
        <v>1</v>
      </c>
      <c r="V13" s="258">
        <v>22</v>
      </c>
      <c r="W13" s="258">
        <f t="shared" si="9"/>
        <v>35</v>
      </c>
      <c r="X13" s="258">
        <f t="shared" si="4"/>
        <v>35</v>
      </c>
      <c r="Y13" s="258">
        <f t="shared" si="4"/>
        <v>35</v>
      </c>
      <c r="Z13" s="258">
        <f t="shared" si="4"/>
        <v>35</v>
      </c>
      <c r="AA13" s="258">
        <f t="shared" si="4"/>
        <v>35</v>
      </c>
      <c r="AB13" s="283">
        <f t="shared" si="5"/>
        <v>1</v>
      </c>
      <c r="AC13" s="283">
        <f t="shared" si="6"/>
        <v>4</v>
      </c>
      <c r="AD13" s="283">
        <f t="shared" si="7"/>
        <v>5</v>
      </c>
    </row>
    <row r="14" spans="1:30" x14ac:dyDescent="0.3">
      <c r="A14" s="750" t="s">
        <v>128</v>
      </c>
      <c r="B14" s="205" t="s">
        <v>144</v>
      </c>
      <c r="C14" s="750">
        <v>1</v>
      </c>
      <c r="E14" s="283">
        <f t="shared" si="0"/>
        <v>1</v>
      </c>
      <c r="F14" s="258">
        <v>1</v>
      </c>
      <c r="G14" s="258">
        <f t="shared" si="1"/>
        <v>1</v>
      </c>
      <c r="H14" s="258">
        <f t="shared" si="1"/>
        <v>1</v>
      </c>
      <c r="I14" s="258">
        <f t="shared" si="1"/>
        <v>1</v>
      </c>
      <c r="J14" s="258">
        <f t="shared" si="1"/>
        <v>1</v>
      </c>
      <c r="K14" s="480">
        <v>18</v>
      </c>
      <c r="L14" s="480">
        <f t="shared" si="2"/>
        <v>18</v>
      </c>
      <c r="M14" s="258">
        <v>18</v>
      </c>
      <c r="N14" s="258">
        <f t="shared" si="3"/>
        <v>18</v>
      </c>
      <c r="O14" s="258">
        <f t="shared" si="3"/>
        <v>18</v>
      </c>
      <c r="P14" s="258">
        <f t="shared" si="3"/>
        <v>18</v>
      </c>
      <c r="Q14" s="258">
        <f t="shared" si="3"/>
        <v>18</v>
      </c>
      <c r="R14" s="452">
        <v>40</v>
      </c>
      <c r="S14" s="480">
        <f t="shared" si="8"/>
        <v>60</v>
      </c>
      <c r="T14" s="258">
        <v>18</v>
      </c>
      <c r="U14" s="258">
        <v>1</v>
      </c>
      <c r="V14" s="258">
        <v>41</v>
      </c>
      <c r="W14" s="258">
        <f t="shared" si="9"/>
        <v>60</v>
      </c>
      <c r="X14" s="258">
        <f t="shared" si="4"/>
        <v>60</v>
      </c>
      <c r="Y14" s="258">
        <f t="shared" si="4"/>
        <v>60</v>
      </c>
      <c r="Z14" s="258">
        <f t="shared" si="4"/>
        <v>60</v>
      </c>
      <c r="AA14" s="258">
        <f t="shared" si="4"/>
        <v>60</v>
      </c>
      <c r="AB14" s="283">
        <f t="shared" si="5"/>
        <v>1</v>
      </c>
      <c r="AC14" s="283">
        <f t="shared" si="6"/>
        <v>4</v>
      </c>
      <c r="AD14" s="283">
        <f t="shared" si="7"/>
        <v>5</v>
      </c>
    </row>
    <row r="15" spans="1:30" x14ac:dyDescent="0.3">
      <c r="A15" s="750"/>
      <c r="B15" s="205" t="s">
        <v>145</v>
      </c>
      <c r="C15" s="750"/>
      <c r="E15" s="283">
        <f t="shared" si="0"/>
        <v>1</v>
      </c>
      <c r="F15" s="258">
        <v>1</v>
      </c>
      <c r="G15" s="258">
        <f t="shared" si="1"/>
        <v>1</v>
      </c>
      <c r="H15" s="258">
        <f t="shared" si="1"/>
        <v>1</v>
      </c>
      <c r="I15" s="258">
        <f t="shared" si="1"/>
        <v>1</v>
      </c>
      <c r="J15" s="258">
        <f t="shared" si="1"/>
        <v>1</v>
      </c>
      <c r="K15" s="480">
        <v>15</v>
      </c>
      <c r="L15" s="480">
        <f t="shared" si="2"/>
        <v>18</v>
      </c>
      <c r="M15" s="258">
        <v>18</v>
      </c>
      <c r="N15" s="258">
        <f t="shared" si="3"/>
        <v>18</v>
      </c>
      <c r="O15" s="258">
        <f t="shared" si="3"/>
        <v>18</v>
      </c>
      <c r="P15" s="258">
        <f t="shared" si="3"/>
        <v>18</v>
      </c>
      <c r="Q15" s="258">
        <f t="shared" si="3"/>
        <v>18</v>
      </c>
      <c r="R15" s="452">
        <v>31</v>
      </c>
      <c r="S15" s="480">
        <f t="shared" si="8"/>
        <v>37</v>
      </c>
      <c r="T15" s="258">
        <v>18</v>
      </c>
      <c r="U15" s="258">
        <v>1</v>
      </c>
      <c r="V15" s="258">
        <v>18</v>
      </c>
      <c r="W15" s="258">
        <f t="shared" si="9"/>
        <v>37</v>
      </c>
      <c r="X15" s="258">
        <f t="shared" si="4"/>
        <v>37</v>
      </c>
      <c r="Y15" s="258">
        <f t="shared" si="4"/>
        <v>37</v>
      </c>
      <c r="Z15" s="258">
        <f t="shared" si="4"/>
        <v>37</v>
      </c>
      <c r="AA15" s="258">
        <f t="shared" si="4"/>
        <v>37</v>
      </c>
      <c r="AB15" s="283">
        <f t="shared" si="5"/>
        <v>1</v>
      </c>
      <c r="AC15" s="283">
        <f t="shared" si="6"/>
        <v>4</v>
      </c>
      <c r="AD15" s="283">
        <f t="shared" si="7"/>
        <v>5</v>
      </c>
    </row>
    <row r="16" spans="1:30" x14ac:dyDescent="0.3">
      <c r="A16" s="750"/>
      <c r="B16" s="205" t="s">
        <v>146</v>
      </c>
      <c r="C16" s="750"/>
      <c r="E16" s="283">
        <f t="shared" si="0"/>
        <v>1</v>
      </c>
      <c r="F16" s="258">
        <v>1</v>
      </c>
      <c r="G16" s="258">
        <f t="shared" si="1"/>
        <v>1</v>
      </c>
      <c r="H16" s="258">
        <f t="shared" si="1"/>
        <v>1</v>
      </c>
      <c r="I16" s="258">
        <f t="shared" si="1"/>
        <v>1</v>
      </c>
      <c r="J16" s="258">
        <f t="shared" si="1"/>
        <v>1</v>
      </c>
      <c r="K16" s="480">
        <v>15</v>
      </c>
      <c r="L16" s="480">
        <f t="shared" si="2"/>
        <v>19</v>
      </c>
      <c r="M16" s="258">
        <v>19</v>
      </c>
      <c r="N16" s="258">
        <f t="shared" si="3"/>
        <v>19</v>
      </c>
      <c r="O16" s="258">
        <f t="shared" si="3"/>
        <v>19</v>
      </c>
      <c r="P16" s="258">
        <f t="shared" si="3"/>
        <v>19</v>
      </c>
      <c r="Q16" s="258">
        <f t="shared" si="3"/>
        <v>19</v>
      </c>
      <c r="R16" s="452">
        <v>47</v>
      </c>
      <c r="S16" s="480">
        <f t="shared" si="8"/>
        <v>37</v>
      </c>
      <c r="T16" s="258">
        <v>19</v>
      </c>
      <c r="U16" s="258">
        <v>1</v>
      </c>
      <c r="V16" s="258">
        <v>17</v>
      </c>
      <c r="W16" s="258">
        <f t="shared" si="9"/>
        <v>37</v>
      </c>
      <c r="X16" s="258">
        <f t="shared" si="4"/>
        <v>37</v>
      </c>
      <c r="Y16" s="258">
        <f t="shared" si="4"/>
        <v>37</v>
      </c>
      <c r="Z16" s="258">
        <f t="shared" si="4"/>
        <v>37</v>
      </c>
      <c r="AA16" s="258">
        <f t="shared" si="4"/>
        <v>37</v>
      </c>
      <c r="AB16" s="283">
        <f t="shared" si="5"/>
        <v>1</v>
      </c>
      <c r="AC16" s="283">
        <f t="shared" si="6"/>
        <v>4</v>
      </c>
      <c r="AD16" s="283">
        <f t="shared" si="7"/>
        <v>5</v>
      </c>
    </row>
    <row r="17" spans="1:30" x14ac:dyDescent="0.3">
      <c r="A17" s="750"/>
      <c r="B17" s="205" t="s">
        <v>147</v>
      </c>
      <c r="C17" s="750"/>
      <c r="E17" s="283">
        <f t="shared" si="0"/>
        <v>1</v>
      </c>
      <c r="F17" s="258">
        <v>1</v>
      </c>
      <c r="G17" s="258">
        <f t="shared" si="1"/>
        <v>1</v>
      </c>
      <c r="H17" s="258">
        <f t="shared" si="1"/>
        <v>1</v>
      </c>
      <c r="I17" s="258">
        <f t="shared" si="1"/>
        <v>1</v>
      </c>
      <c r="J17" s="258">
        <f t="shared" si="1"/>
        <v>1</v>
      </c>
      <c r="K17" s="480">
        <v>22</v>
      </c>
      <c r="L17" s="480">
        <f t="shared" si="2"/>
        <v>24</v>
      </c>
      <c r="M17" s="258">
        <v>24</v>
      </c>
      <c r="N17" s="258">
        <f t="shared" si="3"/>
        <v>24</v>
      </c>
      <c r="O17" s="258">
        <f t="shared" si="3"/>
        <v>24</v>
      </c>
      <c r="P17" s="258">
        <f t="shared" si="3"/>
        <v>24</v>
      </c>
      <c r="Q17" s="258">
        <f t="shared" si="3"/>
        <v>24</v>
      </c>
      <c r="R17" s="452">
        <v>38</v>
      </c>
      <c r="S17" s="480">
        <f t="shared" si="8"/>
        <v>34</v>
      </c>
      <c r="T17" s="258">
        <v>24</v>
      </c>
      <c r="U17" s="258">
        <v>1</v>
      </c>
      <c r="V17" s="258">
        <v>9</v>
      </c>
      <c r="W17" s="258">
        <f t="shared" si="9"/>
        <v>34</v>
      </c>
      <c r="X17" s="258">
        <f t="shared" si="4"/>
        <v>34</v>
      </c>
      <c r="Y17" s="258">
        <f t="shared" si="4"/>
        <v>34</v>
      </c>
      <c r="Z17" s="258">
        <f t="shared" si="4"/>
        <v>34</v>
      </c>
      <c r="AA17" s="258">
        <f t="shared" si="4"/>
        <v>34</v>
      </c>
      <c r="AB17" s="283">
        <f t="shared" si="5"/>
        <v>1</v>
      </c>
      <c r="AC17" s="283">
        <f t="shared" si="6"/>
        <v>4</v>
      </c>
      <c r="AD17" s="283">
        <f t="shared" si="7"/>
        <v>5</v>
      </c>
    </row>
    <row r="18" spans="1:30" x14ac:dyDescent="0.3">
      <c r="A18" s="750"/>
      <c r="B18" s="205" t="s">
        <v>148</v>
      </c>
      <c r="C18" s="750"/>
      <c r="E18" s="283">
        <f t="shared" si="0"/>
        <v>1</v>
      </c>
      <c r="F18" s="258">
        <v>1</v>
      </c>
      <c r="G18" s="258">
        <f t="shared" si="1"/>
        <v>1</v>
      </c>
      <c r="H18" s="258">
        <f t="shared" si="1"/>
        <v>1</v>
      </c>
      <c r="I18" s="258">
        <f t="shared" si="1"/>
        <v>1</v>
      </c>
      <c r="J18" s="258">
        <f t="shared" si="1"/>
        <v>1</v>
      </c>
      <c r="K18" s="480">
        <v>28</v>
      </c>
      <c r="L18" s="480">
        <f t="shared" si="2"/>
        <v>28</v>
      </c>
      <c r="M18" s="258">
        <v>28</v>
      </c>
      <c r="N18" s="258">
        <f t="shared" si="3"/>
        <v>28</v>
      </c>
      <c r="O18" s="258">
        <f t="shared" si="3"/>
        <v>28</v>
      </c>
      <c r="P18" s="258">
        <f t="shared" si="3"/>
        <v>28</v>
      </c>
      <c r="Q18" s="258">
        <f t="shared" si="3"/>
        <v>28</v>
      </c>
      <c r="R18" s="452">
        <v>59</v>
      </c>
      <c r="S18" s="480">
        <f t="shared" si="8"/>
        <v>45</v>
      </c>
      <c r="T18" s="258">
        <v>28</v>
      </c>
      <c r="U18" s="258">
        <v>1</v>
      </c>
      <c r="V18" s="258">
        <v>16</v>
      </c>
      <c r="W18" s="258">
        <f t="shared" si="9"/>
        <v>45</v>
      </c>
      <c r="X18" s="258">
        <f t="shared" si="4"/>
        <v>45</v>
      </c>
      <c r="Y18" s="258">
        <f t="shared" si="4"/>
        <v>45</v>
      </c>
      <c r="Z18" s="258">
        <f t="shared" si="4"/>
        <v>45</v>
      </c>
      <c r="AA18" s="258">
        <f t="shared" si="4"/>
        <v>45</v>
      </c>
      <c r="AB18" s="283">
        <f t="shared" si="5"/>
        <v>1</v>
      </c>
      <c r="AC18" s="283">
        <f t="shared" si="6"/>
        <v>4</v>
      </c>
      <c r="AD18" s="283">
        <f t="shared" si="7"/>
        <v>5</v>
      </c>
    </row>
    <row r="19" spans="1:30" x14ac:dyDescent="0.3">
      <c r="A19" s="750"/>
      <c r="B19" s="205" t="s">
        <v>149</v>
      </c>
      <c r="C19" s="750"/>
      <c r="E19" s="283">
        <f t="shared" si="0"/>
        <v>1</v>
      </c>
      <c r="F19" s="258">
        <v>1</v>
      </c>
      <c r="G19" s="258">
        <f t="shared" si="1"/>
        <v>1</v>
      </c>
      <c r="H19" s="258">
        <f t="shared" si="1"/>
        <v>1</v>
      </c>
      <c r="I19" s="258">
        <f t="shared" si="1"/>
        <v>1</v>
      </c>
      <c r="J19" s="258">
        <f t="shared" si="1"/>
        <v>1</v>
      </c>
      <c r="K19" s="480">
        <v>25</v>
      </c>
      <c r="L19" s="480">
        <f t="shared" si="2"/>
        <v>25</v>
      </c>
      <c r="M19" s="258">
        <v>25</v>
      </c>
      <c r="N19" s="258">
        <f t="shared" si="3"/>
        <v>25</v>
      </c>
      <c r="O19" s="258">
        <f t="shared" si="3"/>
        <v>25</v>
      </c>
      <c r="P19" s="258">
        <f t="shared" si="3"/>
        <v>25</v>
      </c>
      <c r="Q19" s="258">
        <f t="shared" si="3"/>
        <v>25</v>
      </c>
      <c r="R19" s="452">
        <v>56</v>
      </c>
      <c r="S19" s="480">
        <f t="shared" si="8"/>
        <v>34</v>
      </c>
      <c r="T19" s="258">
        <v>25</v>
      </c>
      <c r="U19" s="258">
        <v>1</v>
      </c>
      <c r="V19" s="258">
        <v>8</v>
      </c>
      <c r="W19" s="258">
        <f t="shared" si="9"/>
        <v>34</v>
      </c>
      <c r="X19" s="258">
        <f t="shared" si="4"/>
        <v>34</v>
      </c>
      <c r="Y19" s="258">
        <f t="shared" si="4"/>
        <v>34</v>
      </c>
      <c r="Z19" s="258">
        <f t="shared" si="4"/>
        <v>34</v>
      </c>
      <c r="AA19" s="258">
        <f t="shared" si="4"/>
        <v>34</v>
      </c>
      <c r="AB19" s="283">
        <f t="shared" si="5"/>
        <v>1</v>
      </c>
      <c r="AC19" s="283">
        <f t="shared" si="6"/>
        <v>4</v>
      </c>
      <c r="AD19" s="283">
        <f t="shared" si="7"/>
        <v>5</v>
      </c>
    </row>
    <row r="20" spans="1:30" x14ac:dyDescent="0.3">
      <c r="A20" s="750"/>
      <c r="B20" s="205" t="s">
        <v>150</v>
      </c>
      <c r="C20" s="750"/>
      <c r="E20" s="283">
        <f t="shared" si="0"/>
        <v>1</v>
      </c>
      <c r="F20" s="258">
        <v>1</v>
      </c>
      <c r="G20" s="258">
        <f t="shared" si="1"/>
        <v>1</v>
      </c>
      <c r="H20" s="258">
        <f t="shared" si="1"/>
        <v>1</v>
      </c>
      <c r="I20" s="258">
        <f t="shared" si="1"/>
        <v>1</v>
      </c>
      <c r="J20" s="258">
        <f t="shared" si="1"/>
        <v>1</v>
      </c>
      <c r="K20" s="480">
        <v>26</v>
      </c>
      <c r="L20" s="480">
        <f t="shared" si="2"/>
        <v>28</v>
      </c>
      <c r="M20" s="258">
        <v>28</v>
      </c>
      <c r="N20" s="258">
        <f t="shared" si="3"/>
        <v>28</v>
      </c>
      <c r="O20" s="258">
        <f t="shared" si="3"/>
        <v>28</v>
      </c>
      <c r="P20" s="258">
        <f t="shared" si="3"/>
        <v>28</v>
      </c>
      <c r="Q20" s="258">
        <f t="shared" si="3"/>
        <v>28</v>
      </c>
      <c r="R20" s="452">
        <v>55</v>
      </c>
      <c r="S20" s="480">
        <f t="shared" si="8"/>
        <v>50</v>
      </c>
      <c r="T20" s="258">
        <v>28</v>
      </c>
      <c r="U20" s="258">
        <v>1</v>
      </c>
      <c r="V20" s="258">
        <v>21</v>
      </c>
      <c r="W20" s="258">
        <f t="shared" si="9"/>
        <v>50</v>
      </c>
      <c r="X20" s="258">
        <f t="shared" si="4"/>
        <v>50</v>
      </c>
      <c r="Y20" s="258">
        <f t="shared" si="4"/>
        <v>50</v>
      </c>
      <c r="Z20" s="258">
        <f t="shared" si="4"/>
        <v>50</v>
      </c>
      <c r="AA20" s="258">
        <f t="shared" si="4"/>
        <v>50</v>
      </c>
      <c r="AB20" s="283">
        <f t="shared" si="5"/>
        <v>1</v>
      </c>
      <c r="AC20" s="283">
        <f t="shared" si="6"/>
        <v>4</v>
      </c>
      <c r="AD20" s="283">
        <f t="shared" si="7"/>
        <v>5</v>
      </c>
    </row>
    <row r="21" spans="1:30" x14ac:dyDescent="0.3">
      <c r="A21" s="750"/>
      <c r="B21" s="205" t="s">
        <v>151</v>
      </c>
      <c r="C21" s="750"/>
      <c r="E21" s="283">
        <f t="shared" si="0"/>
        <v>1</v>
      </c>
      <c r="F21" s="258">
        <v>1</v>
      </c>
      <c r="G21" s="258">
        <f t="shared" si="1"/>
        <v>1</v>
      </c>
      <c r="H21" s="258">
        <f t="shared" si="1"/>
        <v>1</v>
      </c>
      <c r="I21" s="258">
        <f t="shared" si="1"/>
        <v>1</v>
      </c>
      <c r="J21" s="258">
        <f t="shared" si="1"/>
        <v>1</v>
      </c>
      <c r="K21" s="480">
        <v>17</v>
      </c>
      <c r="L21" s="480">
        <f t="shared" si="2"/>
        <v>17</v>
      </c>
      <c r="M21" s="258">
        <v>17</v>
      </c>
      <c r="N21" s="258">
        <f t="shared" si="3"/>
        <v>17</v>
      </c>
      <c r="O21" s="258">
        <f t="shared" si="3"/>
        <v>17</v>
      </c>
      <c r="P21" s="258">
        <f t="shared" si="3"/>
        <v>17</v>
      </c>
      <c r="Q21" s="258">
        <f t="shared" si="3"/>
        <v>17</v>
      </c>
      <c r="R21" s="452">
        <v>40</v>
      </c>
      <c r="S21" s="480">
        <f t="shared" si="8"/>
        <v>43</v>
      </c>
      <c r="T21" s="258">
        <v>17</v>
      </c>
      <c r="U21" s="258">
        <v>1</v>
      </c>
      <c r="V21" s="258">
        <v>25</v>
      </c>
      <c r="W21" s="258">
        <f t="shared" si="9"/>
        <v>43</v>
      </c>
      <c r="X21" s="258">
        <f t="shared" si="4"/>
        <v>43</v>
      </c>
      <c r="Y21" s="258">
        <f t="shared" si="4"/>
        <v>43</v>
      </c>
      <c r="Z21" s="258">
        <f t="shared" si="4"/>
        <v>43</v>
      </c>
      <c r="AA21" s="258">
        <f t="shared" si="4"/>
        <v>43</v>
      </c>
      <c r="AB21" s="283">
        <f t="shared" si="5"/>
        <v>1</v>
      </c>
      <c r="AC21" s="283">
        <f t="shared" si="6"/>
        <v>4</v>
      </c>
      <c r="AD21" s="283">
        <f t="shared" si="7"/>
        <v>5</v>
      </c>
    </row>
    <row r="22" spans="1:30" x14ac:dyDescent="0.3">
      <c r="A22" s="750"/>
      <c r="B22" s="205" t="s">
        <v>152</v>
      </c>
      <c r="C22" s="750"/>
      <c r="E22" s="283">
        <f t="shared" si="0"/>
        <v>1</v>
      </c>
      <c r="F22" s="258">
        <v>1</v>
      </c>
      <c r="G22" s="258">
        <f t="shared" si="1"/>
        <v>1</v>
      </c>
      <c r="H22" s="258">
        <f t="shared" si="1"/>
        <v>1</v>
      </c>
      <c r="I22" s="258">
        <f t="shared" si="1"/>
        <v>1</v>
      </c>
      <c r="J22" s="258">
        <f t="shared" si="1"/>
        <v>1</v>
      </c>
      <c r="K22" s="480">
        <v>28</v>
      </c>
      <c r="L22" s="480">
        <f t="shared" si="2"/>
        <v>28</v>
      </c>
      <c r="M22" s="258">
        <v>28</v>
      </c>
      <c r="N22" s="258">
        <f t="shared" si="3"/>
        <v>28</v>
      </c>
      <c r="O22" s="258">
        <f t="shared" si="3"/>
        <v>28</v>
      </c>
      <c r="P22" s="258">
        <f t="shared" si="3"/>
        <v>28</v>
      </c>
      <c r="Q22" s="258">
        <f t="shared" si="3"/>
        <v>28</v>
      </c>
      <c r="R22" s="452">
        <v>51</v>
      </c>
      <c r="S22" s="480">
        <f t="shared" si="8"/>
        <v>71</v>
      </c>
      <c r="T22" s="258">
        <v>28</v>
      </c>
      <c r="U22" s="258">
        <v>1</v>
      </c>
      <c r="V22" s="258">
        <v>42</v>
      </c>
      <c r="W22" s="258">
        <f t="shared" si="9"/>
        <v>71</v>
      </c>
      <c r="X22" s="258">
        <f t="shared" si="4"/>
        <v>71</v>
      </c>
      <c r="Y22" s="258">
        <f t="shared" si="4"/>
        <v>71</v>
      </c>
      <c r="Z22" s="258">
        <f t="shared" si="4"/>
        <v>71</v>
      </c>
      <c r="AA22" s="258">
        <f t="shared" si="4"/>
        <v>71</v>
      </c>
      <c r="AB22" s="283">
        <f t="shared" si="5"/>
        <v>1</v>
      </c>
      <c r="AC22" s="283">
        <f t="shared" si="6"/>
        <v>4</v>
      </c>
      <c r="AD22" s="283">
        <f t="shared" si="7"/>
        <v>5</v>
      </c>
    </row>
    <row r="23" spans="1:30" x14ac:dyDescent="0.3">
      <c r="A23" s="750"/>
      <c r="B23" s="205" t="s">
        <v>153</v>
      </c>
      <c r="C23" s="750"/>
      <c r="E23" s="283">
        <f t="shared" si="0"/>
        <v>1</v>
      </c>
      <c r="F23" s="258">
        <v>1</v>
      </c>
      <c r="G23" s="258">
        <f t="shared" ref="G23:J42" si="10">$F23</f>
        <v>1</v>
      </c>
      <c r="H23" s="258">
        <f t="shared" si="10"/>
        <v>1</v>
      </c>
      <c r="I23" s="258">
        <f t="shared" si="10"/>
        <v>1</v>
      </c>
      <c r="J23" s="258">
        <f t="shared" si="10"/>
        <v>1</v>
      </c>
      <c r="K23" s="480">
        <v>26</v>
      </c>
      <c r="L23" s="480">
        <f t="shared" si="2"/>
        <v>26</v>
      </c>
      <c r="M23" s="258">
        <v>26</v>
      </c>
      <c r="N23" s="258">
        <f t="shared" ref="N23:Q42" si="11">$M23</f>
        <v>26</v>
      </c>
      <c r="O23" s="258">
        <f t="shared" si="11"/>
        <v>26</v>
      </c>
      <c r="P23" s="258">
        <f t="shared" si="11"/>
        <v>26</v>
      </c>
      <c r="Q23" s="258">
        <f t="shared" si="11"/>
        <v>26</v>
      </c>
      <c r="R23" s="452">
        <v>55</v>
      </c>
      <c r="S23" s="480">
        <f t="shared" si="8"/>
        <v>55</v>
      </c>
      <c r="T23" s="258">
        <v>26</v>
      </c>
      <c r="U23" s="258">
        <v>1</v>
      </c>
      <c r="V23" s="258">
        <v>28</v>
      </c>
      <c r="W23" s="258">
        <f t="shared" si="9"/>
        <v>55</v>
      </c>
      <c r="X23" s="258">
        <f t="shared" ref="X23:AA42" si="12">$W23</f>
        <v>55</v>
      </c>
      <c r="Y23" s="258">
        <f t="shared" si="12"/>
        <v>55</v>
      </c>
      <c r="Z23" s="258">
        <f t="shared" si="12"/>
        <v>55</v>
      </c>
      <c r="AA23" s="258">
        <f t="shared" si="12"/>
        <v>55</v>
      </c>
      <c r="AB23" s="283">
        <f t="shared" si="5"/>
        <v>1</v>
      </c>
      <c r="AC23" s="283">
        <f t="shared" si="6"/>
        <v>4</v>
      </c>
      <c r="AD23" s="283">
        <f t="shared" si="7"/>
        <v>5</v>
      </c>
    </row>
    <row r="24" spans="1:30" x14ac:dyDescent="0.3">
      <c r="A24" s="750"/>
      <c r="B24" s="205" t="s">
        <v>154</v>
      </c>
      <c r="C24" s="750"/>
      <c r="E24" s="283">
        <f t="shared" si="0"/>
        <v>1</v>
      </c>
      <c r="F24" s="258">
        <v>1</v>
      </c>
      <c r="G24" s="258">
        <f t="shared" si="10"/>
        <v>1</v>
      </c>
      <c r="H24" s="258">
        <f t="shared" si="10"/>
        <v>1</v>
      </c>
      <c r="I24" s="258">
        <f t="shared" si="10"/>
        <v>1</v>
      </c>
      <c r="J24" s="258">
        <f t="shared" si="10"/>
        <v>1</v>
      </c>
      <c r="K24" s="480">
        <v>22</v>
      </c>
      <c r="L24" s="480">
        <f t="shared" si="2"/>
        <v>23</v>
      </c>
      <c r="M24" s="258">
        <v>23</v>
      </c>
      <c r="N24" s="258">
        <f t="shared" si="11"/>
        <v>23</v>
      </c>
      <c r="O24" s="258">
        <f t="shared" si="11"/>
        <v>23</v>
      </c>
      <c r="P24" s="258">
        <f t="shared" si="11"/>
        <v>23</v>
      </c>
      <c r="Q24" s="258">
        <f t="shared" si="11"/>
        <v>23</v>
      </c>
      <c r="R24" s="452">
        <v>89</v>
      </c>
      <c r="S24" s="480">
        <f t="shared" si="8"/>
        <v>92</v>
      </c>
      <c r="T24" s="258">
        <v>23</v>
      </c>
      <c r="U24" s="258">
        <v>1</v>
      </c>
      <c r="V24" s="258">
        <v>68</v>
      </c>
      <c r="W24" s="258">
        <f t="shared" si="9"/>
        <v>92</v>
      </c>
      <c r="X24" s="258">
        <f t="shared" si="12"/>
        <v>92</v>
      </c>
      <c r="Y24" s="258">
        <f t="shared" si="12"/>
        <v>92</v>
      </c>
      <c r="Z24" s="258">
        <f t="shared" si="12"/>
        <v>92</v>
      </c>
      <c r="AA24" s="258">
        <f t="shared" si="12"/>
        <v>92</v>
      </c>
      <c r="AB24" s="283">
        <f t="shared" si="5"/>
        <v>1</v>
      </c>
      <c r="AC24" s="283">
        <f t="shared" si="6"/>
        <v>4</v>
      </c>
      <c r="AD24" s="283">
        <f t="shared" si="7"/>
        <v>5</v>
      </c>
    </row>
    <row r="25" spans="1:30" x14ac:dyDescent="0.3">
      <c r="A25" s="750"/>
      <c r="B25" s="205" t="s">
        <v>155</v>
      </c>
      <c r="C25" s="750"/>
      <c r="E25" s="283">
        <f t="shared" si="0"/>
        <v>1</v>
      </c>
      <c r="F25" s="258">
        <v>1</v>
      </c>
      <c r="G25" s="258">
        <f t="shared" si="10"/>
        <v>1</v>
      </c>
      <c r="H25" s="258">
        <f t="shared" si="10"/>
        <v>1</v>
      </c>
      <c r="I25" s="258">
        <f t="shared" si="10"/>
        <v>1</v>
      </c>
      <c r="J25" s="258">
        <f t="shared" si="10"/>
        <v>1</v>
      </c>
      <c r="K25" s="480">
        <v>24</v>
      </c>
      <c r="L25" s="480">
        <f t="shared" si="2"/>
        <v>24</v>
      </c>
      <c r="M25" s="258">
        <v>24</v>
      </c>
      <c r="N25" s="258">
        <f t="shared" si="11"/>
        <v>24</v>
      </c>
      <c r="O25" s="258">
        <f t="shared" si="11"/>
        <v>24</v>
      </c>
      <c r="P25" s="258">
        <f t="shared" si="11"/>
        <v>24</v>
      </c>
      <c r="Q25" s="258">
        <f t="shared" si="11"/>
        <v>24</v>
      </c>
      <c r="R25" s="452">
        <v>53</v>
      </c>
      <c r="S25" s="480">
        <f t="shared" si="8"/>
        <v>59</v>
      </c>
      <c r="T25" s="258">
        <v>24</v>
      </c>
      <c r="U25" s="258">
        <v>1</v>
      </c>
      <c r="V25" s="258">
        <v>34</v>
      </c>
      <c r="W25" s="258">
        <f t="shared" si="9"/>
        <v>59</v>
      </c>
      <c r="X25" s="258">
        <f t="shared" si="12"/>
        <v>59</v>
      </c>
      <c r="Y25" s="258">
        <f t="shared" si="12"/>
        <v>59</v>
      </c>
      <c r="Z25" s="258">
        <f t="shared" si="12"/>
        <v>59</v>
      </c>
      <c r="AA25" s="258">
        <f t="shared" si="12"/>
        <v>59</v>
      </c>
      <c r="AB25" s="283">
        <f t="shared" si="5"/>
        <v>1</v>
      </c>
      <c r="AC25" s="283">
        <f t="shared" si="6"/>
        <v>4</v>
      </c>
      <c r="AD25" s="283">
        <f t="shared" si="7"/>
        <v>5</v>
      </c>
    </row>
    <row r="26" spans="1:30" x14ac:dyDescent="0.3">
      <c r="A26" s="750"/>
      <c r="B26" s="205" t="s">
        <v>156</v>
      </c>
      <c r="C26" s="750"/>
      <c r="E26" s="283">
        <f t="shared" si="0"/>
        <v>1</v>
      </c>
      <c r="F26" s="258">
        <v>1</v>
      </c>
      <c r="G26" s="258">
        <f t="shared" si="10"/>
        <v>1</v>
      </c>
      <c r="H26" s="258">
        <f t="shared" si="10"/>
        <v>1</v>
      </c>
      <c r="I26" s="258">
        <f t="shared" si="10"/>
        <v>1</v>
      </c>
      <c r="J26" s="258">
        <f t="shared" si="10"/>
        <v>1</v>
      </c>
      <c r="K26" s="480">
        <v>20</v>
      </c>
      <c r="L26" s="480">
        <f t="shared" si="2"/>
        <v>20</v>
      </c>
      <c r="M26" s="258">
        <v>20</v>
      </c>
      <c r="N26" s="258">
        <f t="shared" si="11"/>
        <v>20</v>
      </c>
      <c r="O26" s="258">
        <f t="shared" si="11"/>
        <v>20</v>
      </c>
      <c r="P26" s="258">
        <f t="shared" si="11"/>
        <v>20</v>
      </c>
      <c r="Q26" s="258">
        <f t="shared" si="11"/>
        <v>20</v>
      </c>
      <c r="R26" s="452">
        <v>51</v>
      </c>
      <c r="S26" s="480">
        <f t="shared" si="8"/>
        <v>75</v>
      </c>
      <c r="T26" s="258">
        <v>20</v>
      </c>
      <c r="U26" s="258">
        <v>1</v>
      </c>
      <c r="V26" s="258">
        <v>54</v>
      </c>
      <c r="W26" s="258">
        <f t="shared" si="9"/>
        <v>75</v>
      </c>
      <c r="X26" s="258">
        <f t="shared" si="12"/>
        <v>75</v>
      </c>
      <c r="Y26" s="258">
        <f t="shared" si="12"/>
        <v>75</v>
      </c>
      <c r="Z26" s="258">
        <f t="shared" si="12"/>
        <v>75</v>
      </c>
      <c r="AA26" s="258">
        <f t="shared" si="12"/>
        <v>75</v>
      </c>
      <c r="AB26" s="283">
        <f t="shared" si="5"/>
        <v>1</v>
      </c>
      <c r="AC26" s="283">
        <f t="shared" si="6"/>
        <v>4</v>
      </c>
      <c r="AD26" s="283">
        <f t="shared" si="7"/>
        <v>5</v>
      </c>
    </row>
    <row r="27" spans="1:30" x14ac:dyDescent="0.3">
      <c r="A27" s="750"/>
      <c r="B27" s="205" t="s">
        <v>157</v>
      </c>
      <c r="C27" s="750"/>
      <c r="E27" s="283">
        <f t="shared" si="0"/>
        <v>1</v>
      </c>
      <c r="F27" s="258">
        <v>1</v>
      </c>
      <c r="G27" s="258">
        <f t="shared" si="10"/>
        <v>1</v>
      </c>
      <c r="H27" s="258">
        <f t="shared" si="10"/>
        <v>1</v>
      </c>
      <c r="I27" s="258">
        <f t="shared" si="10"/>
        <v>1</v>
      </c>
      <c r="J27" s="258">
        <f t="shared" si="10"/>
        <v>1</v>
      </c>
      <c r="K27" s="480">
        <v>21</v>
      </c>
      <c r="L27" s="480">
        <f t="shared" si="2"/>
        <v>24</v>
      </c>
      <c r="M27" s="258">
        <v>24</v>
      </c>
      <c r="N27" s="258">
        <f t="shared" si="11"/>
        <v>24</v>
      </c>
      <c r="O27" s="258">
        <f t="shared" si="11"/>
        <v>24</v>
      </c>
      <c r="P27" s="258">
        <f t="shared" si="11"/>
        <v>24</v>
      </c>
      <c r="Q27" s="258">
        <f t="shared" si="11"/>
        <v>24</v>
      </c>
      <c r="R27" s="452">
        <v>62</v>
      </c>
      <c r="S27" s="480">
        <f t="shared" si="8"/>
        <v>52</v>
      </c>
      <c r="T27" s="258">
        <v>24</v>
      </c>
      <c r="U27" s="258">
        <v>1</v>
      </c>
      <c r="V27" s="258">
        <v>27</v>
      </c>
      <c r="W27" s="258">
        <f t="shared" si="9"/>
        <v>52</v>
      </c>
      <c r="X27" s="258">
        <f t="shared" si="12"/>
        <v>52</v>
      </c>
      <c r="Y27" s="258">
        <f t="shared" si="12"/>
        <v>52</v>
      </c>
      <c r="Z27" s="258">
        <f t="shared" si="12"/>
        <v>52</v>
      </c>
      <c r="AA27" s="258">
        <f t="shared" si="12"/>
        <v>52</v>
      </c>
      <c r="AB27" s="283">
        <f t="shared" si="5"/>
        <v>1</v>
      </c>
      <c r="AC27" s="283">
        <f t="shared" si="6"/>
        <v>4</v>
      </c>
      <c r="AD27" s="283">
        <f t="shared" si="7"/>
        <v>5</v>
      </c>
    </row>
    <row r="28" spans="1:30" x14ac:dyDescent="0.3">
      <c r="A28" s="750"/>
      <c r="B28" s="205" t="s">
        <v>158</v>
      </c>
      <c r="C28" s="750"/>
      <c r="E28" s="283">
        <f t="shared" si="0"/>
        <v>1</v>
      </c>
      <c r="F28" s="258">
        <v>1</v>
      </c>
      <c r="G28" s="258">
        <f t="shared" si="10"/>
        <v>1</v>
      </c>
      <c r="H28" s="258">
        <f t="shared" si="10"/>
        <v>1</v>
      </c>
      <c r="I28" s="258">
        <f t="shared" si="10"/>
        <v>1</v>
      </c>
      <c r="J28" s="258">
        <f t="shared" si="10"/>
        <v>1</v>
      </c>
      <c r="K28" s="480">
        <v>18</v>
      </c>
      <c r="L28" s="480">
        <f t="shared" si="2"/>
        <v>18</v>
      </c>
      <c r="M28" s="258">
        <v>18</v>
      </c>
      <c r="N28" s="258">
        <f t="shared" si="11"/>
        <v>18</v>
      </c>
      <c r="O28" s="258">
        <f t="shared" si="11"/>
        <v>18</v>
      </c>
      <c r="P28" s="258">
        <f t="shared" si="11"/>
        <v>18</v>
      </c>
      <c r="Q28" s="258">
        <f t="shared" si="11"/>
        <v>18</v>
      </c>
      <c r="R28" s="452">
        <v>56</v>
      </c>
      <c r="S28" s="480">
        <f t="shared" si="8"/>
        <v>53</v>
      </c>
      <c r="T28" s="258">
        <v>18</v>
      </c>
      <c r="U28" s="258">
        <v>1</v>
      </c>
      <c r="V28" s="258">
        <v>34</v>
      </c>
      <c r="W28" s="258">
        <f t="shared" si="9"/>
        <v>53</v>
      </c>
      <c r="X28" s="258">
        <f t="shared" si="12"/>
        <v>53</v>
      </c>
      <c r="Y28" s="258">
        <f t="shared" si="12"/>
        <v>53</v>
      </c>
      <c r="Z28" s="258">
        <f t="shared" si="12"/>
        <v>53</v>
      </c>
      <c r="AA28" s="258">
        <f t="shared" si="12"/>
        <v>53</v>
      </c>
      <c r="AB28" s="283">
        <f t="shared" si="5"/>
        <v>1</v>
      </c>
      <c r="AC28" s="283">
        <f t="shared" si="6"/>
        <v>4</v>
      </c>
      <c r="AD28" s="283">
        <f t="shared" si="7"/>
        <v>5</v>
      </c>
    </row>
    <row r="29" spans="1:30" x14ac:dyDescent="0.3">
      <c r="A29" s="750"/>
      <c r="B29" s="205" t="s">
        <v>159</v>
      </c>
      <c r="C29" s="750"/>
      <c r="E29" s="283">
        <f t="shared" si="0"/>
        <v>1</v>
      </c>
      <c r="F29" s="258">
        <v>1</v>
      </c>
      <c r="G29" s="258">
        <f t="shared" si="10"/>
        <v>1</v>
      </c>
      <c r="H29" s="258">
        <f t="shared" si="10"/>
        <v>1</v>
      </c>
      <c r="I29" s="258">
        <f t="shared" si="10"/>
        <v>1</v>
      </c>
      <c r="J29" s="258">
        <f t="shared" si="10"/>
        <v>1</v>
      </c>
      <c r="K29" s="480">
        <v>12</v>
      </c>
      <c r="L29" s="480">
        <f t="shared" si="2"/>
        <v>12</v>
      </c>
      <c r="M29" s="258">
        <v>12</v>
      </c>
      <c r="N29" s="258">
        <f t="shared" si="11"/>
        <v>12</v>
      </c>
      <c r="O29" s="258">
        <f t="shared" si="11"/>
        <v>12</v>
      </c>
      <c r="P29" s="258">
        <f t="shared" si="11"/>
        <v>12</v>
      </c>
      <c r="Q29" s="258">
        <f t="shared" si="11"/>
        <v>12</v>
      </c>
      <c r="R29" s="452">
        <v>34</v>
      </c>
      <c r="S29" s="480">
        <f t="shared" si="8"/>
        <v>33</v>
      </c>
      <c r="T29" s="258">
        <v>12</v>
      </c>
      <c r="U29" s="258">
        <v>1</v>
      </c>
      <c r="V29" s="258">
        <v>20</v>
      </c>
      <c r="W29" s="258">
        <f t="shared" si="9"/>
        <v>33</v>
      </c>
      <c r="X29" s="258">
        <f t="shared" si="12"/>
        <v>33</v>
      </c>
      <c r="Y29" s="258">
        <f t="shared" si="12"/>
        <v>33</v>
      </c>
      <c r="Z29" s="258">
        <f t="shared" si="12"/>
        <v>33</v>
      </c>
      <c r="AA29" s="258">
        <f t="shared" si="12"/>
        <v>33</v>
      </c>
      <c r="AB29" s="283">
        <f t="shared" si="5"/>
        <v>1</v>
      </c>
      <c r="AC29" s="283">
        <f t="shared" si="6"/>
        <v>4</v>
      </c>
      <c r="AD29" s="283">
        <f t="shared" si="7"/>
        <v>5</v>
      </c>
    </row>
    <row r="30" spans="1:30" x14ac:dyDescent="0.3">
      <c r="A30" s="750"/>
      <c r="B30" s="205" t="s">
        <v>160</v>
      </c>
      <c r="C30" s="750"/>
      <c r="E30" s="283">
        <f t="shared" si="0"/>
        <v>1</v>
      </c>
      <c r="F30" s="258">
        <v>1</v>
      </c>
      <c r="G30" s="258">
        <f t="shared" si="10"/>
        <v>1</v>
      </c>
      <c r="H30" s="258">
        <f t="shared" si="10"/>
        <v>1</v>
      </c>
      <c r="I30" s="258">
        <f t="shared" si="10"/>
        <v>1</v>
      </c>
      <c r="J30" s="258">
        <f t="shared" si="10"/>
        <v>1</v>
      </c>
      <c r="K30" s="480">
        <v>23</v>
      </c>
      <c r="L30" s="480">
        <f t="shared" si="2"/>
        <v>23</v>
      </c>
      <c r="M30" s="258">
        <v>23</v>
      </c>
      <c r="N30" s="258">
        <f t="shared" si="11"/>
        <v>23</v>
      </c>
      <c r="O30" s="258">
        <f t="shared" si="11"/>
        <v>23</v>
      </c>
      <c r="P30" s="258">
        <f t="shared" si="11"/>
        <v>23</v>
      </c>
      <c r="Q30" s="258">
        <f t="shared" si="11"/>
        <v>23</v>
      </c>
      <c r="R30" s="452">
        <v>52</v>
      </c>
      <c r="S30" s="480">
        <f t="shared" si="8"/>
        <v>73</v>
      </c>
      <c r="T30" s="258">
        <v>23</v>
      </c>
      <c r="U30" s="258">
        <v>1</v>
      </c>
      <c r="V30" s="258">
        <v>49</v>
      </c>
      <c r="W30" s="258">
        <f t="shared" si="9"/>
        <v>73</v>
      </c>
      <c r="X30" s="258">
        <f t="shared" si="12"/>
        <v>73</v>
      </c>
      <c r="Y30" s="258">
        <f t="shared" si="12"/>
        <v>73</v>
      </c>
      <c r="Z30" s="258">
        <f t="shared" si="12"/>
        <v>73</v>
      </c>
      <c r="AA30" s="258">
        <f t="shared" si="12"/>
        <v>73</v>
      </c>
      <c r="AB30" s="283">
        <f t="shared" si="5"/>
        <v>1</v>
      </c>
      <c r="AC30" s="283">
        <f t="shared" si="6"/>
        <v>4</v>
      </c>
      <c r="AD30" s="283">
        <f t="shared" si="7"/>
        <v>5</v>
      </c>
    </row>
    <row r="31" spans="1:30" x14ac:dyDescent="0.3">
      <c r="A31" s="750" t="s">
        <v>129</v>
      </c>
      <c r="B31" s="205" t="s">
        <v>161</v>
      </c>
      <c r="C31" s="750">
        <v>1</v>
      </c>
      <c r="E31" s="283">
        <f t="shared" si="0"/>
        <v>1</v>
      </c>
      <c r="F31" s="258">
        <v>1</v>
      </c>
      <c r="G31" s="258">
        <f t="shared" si="10"/>
        <v>1</v>
      </c>
      <c r="H31" s="258">
        <f t="shared" si="10"/>
        <v>1</v>
      </c>
      <c r="I31" s="258">
        <f t="shared" si="10"/>
        <v>1</v>
      </c>
      <c r="J31" s="258">
        <f t="shared" si="10"/>
        <v>1</v>
      </c>
      <c r="K31" s="480">
        <v>8</v>
      </c>
      <c r="L31" s="480">
        <f t="shared" si="2"/>
        <v>8</v>
      </c>
      <c r="M31" s="258">
        <v>8</v>
      </c>
      <c r="N31" s="258">
        <f t="shared" si="11"/>
        <v>8</v>
      </c>
      <c r="O31" s="258">
        <f t="shared" si="11"/>
        <v>8</v>
      </c>
      <c r="P31" s="258">
        <f t="shared" si="11"/>
        <v>8</v>
      </c>
      <c r="Q31" s="258">
        <f t="shared" si="11"/>
        <v>8</v>
      </c>
      <c r="R31" s="452">
        <v>9</v>
      </c>
      <c r="S31" s="480">
        <f t="shared" si="8"/>
        <v>15</v>
      </c>
      <c r="T31" s="258">
        <v>8</v>
      </c>
      <c r="U31" s="258">
        <v>1</v>
      </c>
      <c r="V31" s="258">
        <v>6</v>
      </c>
      <c r="W31" s="258">
        <f t="shared" si="9"/>
        <v>15</v>
      </c>
      <c r="X31" s="258">
        <f t="shared" si="12"/>
        <v>15</v>
      </c>
      <c r="Y31" s="258">
        <f t="shared" si="12"/>
        <v>15</v>
      </c>
      <c r="Z31" s="258">
        <f t="shared" si="12"/>
        <v>15</v>
      </c>
      <c r="AA31" s="258">
        <f t="shared" si="12"/>
        <v>15</v>
      </c>
      <c r="AB31" s="283">
        <f t="shared" si="5"/>
        <v>1</v>
      </c>
      <c r="AC31" s="283">
        <f t="shared" si="6"/>
        <v>4</v>
      </c>
      <c r="AD31" s="283">
        <f t="shared" si="7"/>
        <v>5</v>
      </c>
    </row>
    <row r="32" spans="1:30" x14ac:dyDescent="0.3">
      <c r="A32" s="750"/>
      <c r="B32" s="205" t="s">
        <v>162</v>
      </c>
      <c r="C32" s="750"/>
      <c r="E32" s="283">
        <f t="shared" si="0"/>
        <v>1</v>
      </c>
      <c r="F32" s="258">
        <v>1</v>
      </c>
      <c r="G32" s="258">
        <f t="shared" si="10"/>
        <v>1</v>
      </c>
      <c r="H32" s="258">
        <f t="shared" si="10"/>
        <v>1</v>
      </c>
      <c r="I32" s="258">
        <f t="shared" si="10"/>
        <v>1</v>
      </c>
      <c r="J32" s="258">
        <f t="shared" si="10"/>
        <v>1</v>
      </c>
      <c r="K32" s="480">
        <v>10</v>
      </c>
      <c r="L32" s="480">
        <f t="shared" si="2"/>
        <v>10</v>
      </c>
      <c r="M32" s="258">
        <v>10</v>
      </c>
      <c r="N32" s="258">
        <f t="shared" si="11"/>
        <v>10</v>
      </c>
      <c r="O32" s="258">
        <f t="shared" si="11"/>
        <v>10</v>
      </c>
      <c r="P32" s="258">
        <f t="shared" si="11"/>
        <v>10</v>
      </c>
      <c r="Q32" s="258">
        <f t="shared" si="11"/>
        <v>10</v>
      </c>
      <c r="R32" s="452">
        <v>28</v>
      </c>
      <c r="S32" s="480">
        <f t="shared" si="8"/>
        <v>20</v>
      </c>
      <c r="T32" s="258">
        <v>10</v>
      </c>
      <c r="U32" s="258">
        <v>1</v>
      </c>
      <c r="V32" s="258">
        <v>9</v>
      </c>
      <c r="W32" s="258">
        <f t="shared" si="9"/>
        <v>20</v>
      </c>
      <c r="X32" s="258">
        <f t="shared" si="12"/>
        <v>20</v>
      </c>
      <c r="Y32" s="258">
        <f t="shared" si="12"/>
        <v>20</v>
      </c>
      <c r="Z32" s="258">
        <f t="shared" si="12"/>
        <v>20</v>
      </c>
      <c r="AA32" s="258">
        <f t="shared" si="12"/>
        <v>20</v>
      </c>
      <c r="AB32" s="283">
        <f t="shared" si="5"/>
        <v>1</v>
      </c>
      <c r="AC32" s="283">
        <f t="shared" si="6"/>
        <v>4</v>
      </c>
      <c r="AD32" s="283">
        <f t="shared" si="7"/>
        <v>5</v>
      </c>
    </row>
    <row r="33" spans="1:30" x14ac:dyDescent="0.3">
      <c r="A33" s="750"/>
      <c r="B33" s="205" t="s">
        <v>163</v>
      </c>
      <c r="C33" s="750"/>
      <c r="E33" s="283">
        <f t="shared" si="0"/>
        <v>1</v>
      </c>
      <c r="F33" s="258">
        <v>1</v>
      </c>
      <c r="G33" s="258">
        <f t="shared" si="10"/>
        <v>1</v>
      </c>
      <c r="H33" s="258">
        <f t="shared" si="10"/>
        <v>1</v>
      </c>
      <c r="I33" s="258">
        <f t="shared" si="10"/>
        <v>1</v>
      </c>
      <c r="J33" s="258">
        <f t="shared" si="10"/>
        <v>1</v>
      </c>
      <c r="K33" s="480">
        <v>18</v>
      </c>
      <c r="L33" s="480">
        <f t="shared" si="2"/>
        <v>18</v>
      </c>
      <c r="M33" s="258">
        <v>18</v>
      </c>
      <c r="N33" s="258">
        <f t="shared" si="11"/>
        <v>18</v>
      </c>
      <c r="O33" s="258">
        <f t="shared" si="11"/>
        <v>18</v>
      </c>
      <c r="P33" s="258">
        <f t="shared" si="11"/>
        <v>18</v>
      </c>
      <c r="Q33" s="258">
        <f t="shared" si="11"/>
        <v>18</v>
      </c>
      <c r="R33" s="452">
        <v>74</v>
      </c>
      <c r="S33" s="480">
        <f t="shared" si="8"/>
        <v>42</v>
      </c>
      <c r="T33" s="258">
        <v>18</v>
      </c>
      <c r="U33" s="258">
        <v>1</v>
      </c>
      <c r="V33" s="258">
        <v>23</v>
      </c>
      <c r="W33" s="258">
        <f t="shared" si="9"/>
        <v>42</v>
      </c>
      <c r="X33" s="258">
        <f t="shared" si="12"/>
        <v>42</v>
      </c>
      <c r="Y33" s="258">
        <f t="shared" si="12"/>
        <v>42</v>
      </c>
      <c r="Z33" s="258">
        <f t="shared" si="12"/>
        <v>42</v>
      </c>
      <c r="AA33" s="258">
        <f t="shared" si="12"/>
        <v>42</v>
      </c>
      <c r="AB33" s="283">
        <f t="shared" si="5"/>
        <v>1</v>
      </c>
      <c r="AC33" s="283">
        <f t="shared" si="6"/>
        <v>4</v>
      </c>
      <c r="AD33" s="283">
        <f t="shared" si="7"/>
        <v>5</v>
      </c>
    </row>
    <row r="34" spans="1:30" x14ac:dyDescent="0.3">
      <c r="A34" s="750"/>
      <c r="B34" s="205" t="s">
        <v>164</v>
      </c>
      <c r="C34" s="750"/>
      <c r="E34" s="283">
        <f t="shared" si="0"/>
        <v>1</v>
      </c>
      <c r="F34" s="258">
        <v>1</v>
      </c>
      <c r="G34" s="258">
        <f t="shared" si="10"/>
        <v>1</v>
      </c>
      <c r="H34" s="258">
        <f t="shared" si="10"/>
        <v>1</v>
      </c>
      <c r="I34" s="258">
        <f t="shared" si="10"/>
        <v>1</v>
      </c>
      <c r="J34" s="258">
        <f t="shared" si="10"/>
        <v>1</v>
      </c>
      <c r="K34" s="480">
        <v>19</v>
      </c>
      <c r="L34" s="480">
        <f t="shared" si="2"/>
        <v>19</v>
      </c>
      <c r="M34" s="258">
        <v>19</v>
      </c>
      <c r="N34" s="258">
        <f t="shared" si="11"/>
        <v>19</v>
      </c>
      <c r="O34" s="258">
        <f t="shared" si="11"/>
        <v>19</v>
      </c>
      <c r="P34" s="258">
        <f t="shared" si="11"/>
        <v>19</v>
      </c>
      <c r="Q34" s="258">
        <f t="shared" si="11"/>
        <v>19</v>
      </c>
      <c r="R34" s="452">
        <v>44</v>
      </c>
      <c r="S34" s="480">
        <f t="shared" si="8"/>
        <v>42</v>
      </c>
      <c r="T34" s="258">
        <v>19</v>
      </c>
      <c r="U34" s="258">
        <v>1</v>
      </c>
      <c r="V34" s="258">
        <v>22</v>
      </c>
      <c r="W34" s="258">
        <f t="shared" si="9"/>
        <v>42</v>
      </c>
      <c r="X34" s="258">
        <f t="shared" si="12"/>
        <v>42</v>
      </c>
      <c r="Y34" s="258">
        <f t="shared" si="12"/>
        <v>42</v>
      </c>
      <c r="Z34" s="258">
        <f t="shared" si="12"/>
        <v>42</v>
      </c>
      <c r="AA34" s="258">
        <f t="shared" si="12"/>
        <v>42</v>
      </c>
      <c r="AB34" s="283">
        <f t="shared" si="5"/>
        <v>1</v>
      </c>
      <c r="AC34" s="283">
        <f t="shared" si="6"/>
        <v>4</v>
      </c>
      <c r="AD34" s="283">
        <f t="shared" si="7"/>
        <v>5</v>
      </c>
    </row>
    <row r="35" spans="1:30" x14ac:dyDescent="0.3">
      <c r="A35" s="750"/>
      <c r="B35" s="205" t="s">
        <v>165</v>
      </c>
      <c r="C35" s="750"/>
      <c r="E35" s="283">
        <f t="shared" ref="E35:E54" si="13">SUM(G35:J35)/4</f>
        <v>1</v>
      </c>
      <c r="F35" s="258">
        <v>1</v>
      </c>
      <c r="G35" s="258">
        <f t="shared" si="10"/>
        <v>1</v>
      </c>
      <c r="H35" s="258">
        <f t="shared" si="10"/>
        <v>1</v>
      </c>
      <c r="I35" s="258">
        <f t="shared" si="10"/>
        <v>1</v>
      </c>
      <c r="J35" s="258">
        <f t="shared" si="10"/>
        <v>1</v>
      </c>
      <c r="K35" s="480">
        <v>18</v>
      </c>
      <c r="L35" s="480">
        <f t="shared" ref="L35:L54" si="14">SUM(N35:Q35)/4</f>
        <v>18</v>
      </c>
      <c r="M35" s="258">
        <v>18</v>
      </c>
      <c r="N35" s="258">
        <f t="shared" si="11"/>
        <v>18</v>
      </c>
      <c r="O35" s="258">
        <f t="shared" si="11"/>
        <v>18</v>
      </c>
      <c r="P35" s="258">
        <f t="shared" si="11"/>
        <v>18</v>
      </c>
      <c r="Q35" s="258">
        <f t="shared" si="11"/>
        <v>18</v>
      </c>
      <c r="R35" s="452">
        <v>43</v>
      </c>
      <c r="S35" s="480">
        <f t="shared" si="8"/>
        <v>35</v>
      </c>
      <c r="T35" s="258">
        <v>18</v>
      </c>
      <c r="U35" s="258">
        <v>1</v>
      </c>
      <c r="V35" s="258">
        <v>16</v>
      </c>
      <c r="W35" s="258">
        <f t="shared" si="9"/>
        <v>35</v>
      </c>
      <c r="X35" s="258">
        <f t="shared" si="12"/>
        <v>35</v>
      </c>
      <c r="Y35" s="258">
        <f t="shared" si="12"/>
        <v>35</v>
      </c>
      <c r="Z35" s="258">
        <f t="shared" si="12"/>
        <v>35</v>
      </c>
      <c r="AA35" s="258">
        <f t="shared" si="12"/>
        <v>35</v>
      </c>
      <c r="AB35" s="283">
        <f t="shared" ref="AB35:AB51" si="15">F35</f>
        <v>1</v>
      </c>
      <c r="AC35" s="283">
        <f t="shared" ref="AC35:AC51" si="16">F35*4</f>
        <v>4</v>
      </c>
      <c r="AD35" s="283">
        <f t="shared" ref="AD35:AD54" si="17">SUM(AB35:AC35)</f>
        <v>5</v>
      </c>
    </row>
    <row r="36" spans="1:30" x14ac:dyDescent="0.3">
      <c r="A36" s="750"/>
      <c r="B36" s="205" t="s">
        <v>166</v>
      </c>
      <c r="C36" s="750"/>
      <c r="E36" s="283">
        <f t="shared" si="13"/>
        <v>1</v>
      </c>
      <c r="F36" s="258">
        <v>1</v>
      </c>
      <c r="G36" s="258">
        <f t="shared" si="10"/>
        <v>1</v>
      </c>
      <c r="H36" s="258">
        <f t="shared" si="10"/>
        <v>1</v>
      </c>
      <c r="I36" s="258">
        <f t="shared" si="10"/>
        <v>1</v>
      </c>
      <c r="J36" s="258">
        <f t="shared" si="10"/>
        <v>1</v>
      </c>
      <c r="K36" s="480">
        <v>11</v>
      </c>
      <c r="L36" s="480">
        <f t="shared" si="14"/>
        <v>11</v>
      </c>
      <c r="M36" s="258">
        <v>11</v>
      </c>
      <c r="N36" s="258">
        <f t="shared" si="11"/>
        <v>11</v>
      </c>
      <c r="O36" s="258">
        <f t="shared" si="11"/>
        <v>11</v>
      </c>
      <c r="P36" s="258">
        <f t="shared" si="11"/>
        <v>11</v>
      </c>
      <c r="Q36" s="258">
        <f t="shared" si="11"/>
        <v>11</v>
      </c>
      <c r="R36" s="452">
        <v>19</v>
      </c>
      <c r="S36" s="480">
        <f t="shared" si="8"/>
        <v>35</v>
      </c>
      <c r="T36" s="258">
        <v>11</v>
      </c>
      <c r="U36" s="258">
        <v>1</v>
      </c>
      <c r="V36" s="258">
        <v>23</v>
      </c>
      <c r="W36" s="258">
        <f t="shared" si="9"/>
        <v>35</v>
      </c>
      <c r="X36" s="258">
        <f t="shared" si="12"/>
        <v>35</v>
      </c>
      <c r="Y36" s="258">
        <f t="shared" si="12"/>
        <v>35</v>
      </c>
      <c r="Z36" s="258">
        <f t="shared" si="12"/>
        <v>35</v>
      </c>
      <c r="AA36" s="258">
        <f t="shared" si="12"/>
        <v>35</v>
      </c>
      <c r="AB36" s="283">
        <f t="shared" si="15"/>
        <v>1</v>
      </c>
      <c r="AC36" s="283">
        <f t="shared" si="16"/>
        <v>4</v>
      </c>
      <c r="AD36" s="283">
        <f t="shared" si="17"/>
        <v>5</v>
      </c>
    </row>
    <row r="37" spans="1:30" x14ac:dyDescent="0.3">
      <c r="A37" s="750"/>
      <c r="B37" s="205" t="s">
        <v>167</v>
      </c>
      <c r="C37" s="750"/>
      <c r="E37" s="283">
        <f t="shared" si="13"/>
        <v>1</v>
      </c>
      <c r="F37" s="258">
        <v>1</v>
      </c>
      <c r="G37" s="258">
        <f t="shared" si="10"/>
        <v>1</v>
      </c>
      <c r="H37" s="258">
        <f t="shared" si="10"/>
        <v>1</v>
      </c>
      <c r="I37" s="258">
        <f t="shared" si="10"/>
        <v>1</v>
      </c>
      <c r="J37" s="258">
        <f t="shared" si="10"/>
        <v>1</v>
      </c>
      <c r="K37" s="480">
        <v>18</v>
      </c>
      <c r="L37" s="480">
        <f t="shared" si="14"/>
        <v>20</v>
      </c>
      <c r="M37" s="258">
        <v>20</v>
      </c>
      <c r="N37" s="258">
        <f t="shared" si="11"/>
        <v>20</v>
      </c>
      <c r="O37" s="258">
        <f t="shared" si="11"/>
        <v>20</v>
      </c>
      <c r="P37" s="258">
        <f t="shared" si="11"/>
        <v>20</v>
      </c>
      <c r="Q37" s="258">
        <f t="shared" si="11"/>
        <v>20</v>
      </c>
      <c r="R37" s="452">
        <v>44</v>
      </c>
      <c r="S37" s="480">
        <f t="shared" si="8"/>
        <v>30</v>
      </c>
      <c r="T37" s="258">
        <v>20</v>
      </c>
      <c r="U37" s="258">
        <v>1</v>
      </c>
      <c r="V37" s="258">
        <v>9</v>
      </c>
      <c r="W37" s="258">
        <f t="shared" si="9"/>
        <v>30</v>
      </c>
      <c r="X37" s="258">
        <f t="shared" si="12"/>
        <v>30</v>
      </c>
      <c r="Y37" s="258">
        <f t="shared" si="12"/>
        <v>30</v>
      </c>
      <c r="Z37" s="258">
        <f t="shared" si="12"/>
        <v>30</v>
      </c>
      <c r="AA37" s="258">
        <f t="shared" si="12"/>
        <v>30</v>
      </c>
      <c r="AB37" s="283">
        <f t="shared" si="15"/>
        <v>1</v>
      </c>
      <c r="AC37" s="283">
        <f t="shared" si="16"/>
        <v>4</v>
      </c>
      <c r="AD37" s="283">
        <f t="shared" si="17"/>
        <v>5</v>
      </c>
    </row>
    <row r="38" spans="1:30" x14ac:dyDescent="0.3">
      <c r="A38" s="750"/>
      <c r="B38" s="205" t="s">
        <v>168</v>
      </c>
      <c r="C38" s="750"/>
      <c r="E38" s="283">
        <f t="shared" si="13"/>
        <v>1</v>
      </c>
      <c r="F38" s="258">
        <v>1</v>
      </c>
      <c r="G38" s="258">
        <f t="shared" si="10"/>
        <v>1</v>
      </c>
      <c r="H38" s="258">
        <f t="shared" si="10"/>
        <v>1</v>
      </c>
      <c r="I38" s="258">
        <f t="shared" si="10"/>
        <v>1</v>
      </c>
      <c r="J38" s="258">
        <f t="shared" si="10"/>
        <v>1</v>
      </c>
      <c r="K38" s="480">
        <v>11</v>
      </c>
      <c r="L38" s="480">
        <f t="shared" si="14"/>
        <v>11</v>
      </c>
      <c r="M38" s="258">
        <v>11</v>
      </c>
      <c r="N38" s="258">
        <f t="shared" si="11"/>
        <v>11</v>
      </c>
      <c r="O38" s="258">
        <f t="shared" si="11"/>
        <v>11</v>
      </c>
      <c r="P38" s="258">
        <f t="shared" si="11"/>
        <v>11</v>
      </c>
      <c r="Q38" s="258">
        <f t="shared" si="11"/>
        <v>11</v>
      </c>
      <c r="R38" s="452">
        <v>24</v>
      </c>
      <c r="S38" s="480">
        <f t="shared" si="8"/>
        <v>18</v>
      </c>
      <c r="T38" s="258">
        <v>11</v>
      </c>
      <c r="U38" s="258">
        <v>1</v>
      </c>
      <c r="V38" s="258">
        <v>6</v>
      </c>
      <c r="W38" s="258">
        <f t="shared" si="9"/>
        <v>18</v>
      </c>
      <c r="X38" s="258">
        <f t="shared" si="12"/>
        <v>18</v>
      </c>
      <c r="Y38" s="258">
        <f t="shared" si="12"/>
        <v>18</v>
      </c>
      <c r="Z38" s="258">
        <f t="shared" si="12"/>
        <v>18</v>
      </c>
      <c r="AA38" s="258">
        <f t="shared" si="12"/>
        <v>18</v>
      </c>
      <c r="AB38" s="283">
        <f t="shared" si="15"/>
        <v>1</v>
      </c>
      <c r="AC38" s="283">
        <f t="shared" si="16"/>
        <v>4</v>
      </c>
      <c r="AD38" s="283">
        <f t="shared" si="17"/>
        <v>5</v>
      </c>
    </row>
    <row r="39" spans="1:30" x14ac:dyDescent="0.3">
      <c r="A39" s="750"/>
      <c r="B39" s="205" t="s">
        <v>169</v>
      </c>
      <c r="C39" s="750"/>
      <c r="E39" s="283">
        <f t="shared" si="13"/>
        <v>1</v>
      </c>
      <c r="F39" s="258">
        <v>1</v>
      </c>
      <c r="G39" s="258">
        <f t="shared" si="10"/>
        <v>1</v>
      </c>
      <c r="H39" s="258">
        <f t="shared" si="10"/>
        <v>1</v>
      </c>
      <c r="I39" s="258">
        <f t="shared" si="10"/>
        <v>1</v>
      </c>
      <c r="J39" s="258">
        <f t="shared" si="10"/>
        <v>1</v>
      </c>
      <c r="K39" s="480">
        <v>15</v>
      </c>
      <c r="L39" s="480">
        <f t="shared" si="14"/>
        <v>15</v>
      </c>
      <c r="M39" s="258">
        <v>15</v>
      </c>
      <c r="N39" s="258">
        <f t="shared" si="11"/>
        <v>15</v>
      </c>
      <c r="O39" s="258">
        <f t="shared" si="11"/>
        <v>15</v>
      </c>
      <c r="P39" s="258">
        <f t="shared" si="11"/>
        <v>15</v>
      </c>
      <c r="Q39" s="258">
        <f t="shared" si="11"/>
        <v>15</v>
      </c>
      <c r="R39" s="452">
        <v>16</v>
      </c>
      <c r="S39" s="480">
        <f t="shared" si="8"/>
        <v>27</v>
      </c>
      <c r="T39" s="258">
        <v>15</v>
      </c>
      <c r="U39" s="258">
        <v>1</v>
      </c>
      <c r="V39" s="258">
        <v>11</v>
      </c>
      <c r="W39" s="258">
        <f t="shared" si="9"/>
        <v>27</v>
      </c>
      <c r="X39" s="258">
        <f t="shared" si="12"/>
        <v>27</v>
      </c>
      <c r="Y39" s="258">
        <f t="shared" si="12"/>
        <v>27</v>
      </c>
      <c r="Z39" s="258">
        <f t="shared" si="12"/>
        <v>27</v>
      </c>
      <c r="AA39" s="258">
        <f t="shared" si="12"/>
        <v>27</v>
      </c>
      <c r="AB39" s="283">
        <f t="shared" si="15"/>
        <v>1</v>
      </c>
      <c r="AC39" s="283">
        <f t="shared" si="16"/>
        <v>4</v>
      </c>
      <c r="AD39" s="283">
        <f t="shared" si="17"/>
        <v>5</v>
      </c>
    </row>
    <row r="40" spans="1:30" x14ac:dyDescent="0.3">
      <c r="A40" s="750"/>
      <c r="B40" s="205" t="s">
        <v>170</v>
      </c>
      <c r="C40" s="750"/>
      <c r="E40" s="283">
        <f t="shared" si="13"/>
        <v>1</v>
      </c>
      <c r="F40" s="258">
        <v>1</v>
      </c>
      <c r="G40" s="258">
        <f t="shared" si="10"/>
        <v>1</v>
      </c>
      <c r="H40" s="258">
        <f t="shared" si="10"/>
        <v>1</v>
      </c>
      <c r="I40" s="258">
        <f t="shared" si="10"/>
        <v>1</v>
      </c>
      <c r="J40" s="258">
        <f t="shared" si="10"/>
        <v>1</v>
      </c>
      <c r="K40" s="480">
        <v>17</v>
      </c>
      <c r="L40" s="480">
        <f t="shared" si="14"/>
        <v>17</v>
      </c>
      <c r="M40" s="258">
        <v>17</v>
      </c>
      <c r="N40" s="258">
        <f t="shared" si="11"/>
        <v>17</v>
      </c>
      <c r="O40" s="258">
        <f t="shared" si="11"/>
        <v>17</v>
      </c>
      <c r="P40" s="258">
        <f t="shared" si="11"/>
        <v>17</v>
      </c>
      <c r="Q40" s="258">
        <f t="shared" si="11"/>
        <v>17</v>
      </c>
      <c r="R40" s="452">
        <v>40</v>
      </c>
      <c r="S40" s="480">
        <f t="shared" si="8"/>
        <v>21</v>
      </c>
      <c r="T40" s="258">
        <v>17</v>
      </c>
      <c r="U40" s="258">
        <v>1</v>
      </c>
      <c r="V40" s="258">
        <v>3</v>
      </c>
      <c r="W40" s="258">
        <f t="shared" si="9"/>
        <v>21</v>
      </c>
      <c r="X40" s="258">
        <f t="shared" si="12"/>
        <v>21</v>
      </c>
      <c r="Y40" s="258">
        <f t="shared" si="12"/>
        <v>21</v>
      </c>
      <c r="Z40" s="258">
        <f t="shared" si="12"/>
        <v>21</v>
      </c>
      <c r="AA40" s="258">
        <f t="shared" si="12"/>
        <v>21</v>
      </c>
      <c r="AB40" s="283">
        <f t="shared" si="15"/>
        <v>1</v>
      </c>
      <c r="AC40" s="283">
        <f t="shared" si="16"/>
        <v>4</v>
      </c>
      <c r="AD40" s="283">
        <f t="shared" si="17"/>
        <v>5</v>
      </c>
    </row>
    <row r="41" spans="1:30" x14ac:dyDescent="0.3">
      <c r="A41" s="750" t="s">
        <v>130</v>
      </c>
      <c r="B41" s="205" t="s">
        <v>171</v>
      </c>
      <c r="C41" s="750">
        <v>1</v>
      </c>
      <c r="E41" s="283">
        <f t="shared" si="13"/>
        <v>1</v>
      </c>
      <c r="F41" s="258">
        <v>1</v>
      </c>
      <c r="G41" s="258">
        <f t="shared" si="10"/>
        <v>1</v>
      </c>
      <c r="H41" s="258">
        <f t="shared" si="10"/>
        <v>1</v>
      </c>
      <c r="I41" s="258">
        <f t="shared" si="10"/>
        <v>1</v>
      </c>
      <c r="J41" s="258">
        <f t="shared" si="10"/>
        <v>1</v>
      </c>
      <c r="K41" s="480">
        <v>14</v>
      </c>
      <c r="L41" s="480">
        <f t="shared" si="14"/>
        <v>14</v>
      </c>
      <c r="M41" s="258">
        <v>14</v>
      </c>
      <c r="N41" s="258">
        <f t="shared" si="11"/>
        <v>14</v>
      </c>
      <c r="O41" s="258">
        <f t="shared" si="11"/>
        <v>14</v>
      </c>
      <c r="P41" s="258">
        <f t="shared" si="11"/>
        <v>14</v>
      </c>
      <c r="Q41" s="258">
        <f t="shared" si="11"/>
        <v>14</v>
      </c>
      <c r="R41" s="452">
        <v>16</v>
      </c>
      <c r="S41" s="480">
        <f t="shared" si="8"/>
        <v>20</v>
      </c>
      <c r="T41" s="258">
        <v>14</v>
      </c>
      <c r="U41" s="258">
        <v>1</v>
      </c>
      <c r="V41" s="258">
        <v>5</v>
      </c>
      <c r="W41" s="258">
        <f t="shared" si="9"/>
        <v>20</v>
      </c>
      <c r="X41" s="258">
        <f t="shared" si="12"/>
        <v>20</v>
      </c>
      <c r="Y41" s="258">
        <f t="shared" si="12"/>
        <v>20</v>
      </c>
      <c r="Z41" s="258">
        <f t="shared" si="12"/>
        <v>20</v>
      </c>
      <c r="AA41" s="258">
        <f t="shared" si="12"/>
        <v>20</v>
      </c>
      <c r="AB41" s="283">
        <f t="shared" si="15"/>
        <v>1</v>
      </c>
      <c r="AC41" s="283">
        <f t="shared" si="16"/>
        <v>4</v>
      </c>
      <c r="AD41" s="283">
        <f t="shared" si="17"/>
        <v>5</v>
      </c>
    </row>
    <row r="42" spans="1:30" x14ac:dyDescent="0.3">
      <c r="A42" s="750"/>
      <c r="B42" s="205" t="s">
        <v>172</v>
      </c>
      <c r="C42" s="750"/>
      <c r="E42" s="283">
        <f t="shared" si="13"/>
        <v>1</v>
      </c>
      <c r="F42" s="258">
        <v>1</v>
      </c>
      <c r="G42" s="258">
        <f t="shared" si="10"/>
        <v>1</v>
      </c>
      <c r="H42" s="258">
        <f t="shared" si="10"/>
        <v>1</v>
      </c>
      <c r="I42" s="258">
        <f t="shared" si="10"/>
        <v>1</v>
      </c>
      <c r="J42" s="258">
        <f t="shared" si="10"/>
        <v>1</v>
      </c>
      <c r="K42" s="480">
        <v>17</v>
      </c>
      <c r="L42" s="480">
        <f t="shared" si="14"/>
        <v>17</v>
      </c>
      <c r="M42" s="258">
        <v>17</v>
      </c>
      <c r="N42" s="258">
        <f t="shared" si="11"/>
        <v>17</v>
      </c>
      <c r="O42" s="258">
        <f t="shared" si="11"/>
        <v>17</v>
      </c>
      <c r="P42" s="258">
        <f t="shared" si="11"/>
        <v>17</v>
      </c>
      <c r="Q42" s="258">
        <f t="shared" si="11"/>
        <v>17</v>
      </c>
      <c r="R42" s="452">
        <v>35</v>
      </c>
      <c r="S42" s="480">
        <f t="shared" si="8"/>
        <v>18</v>
      </c>
      <c r="T42" s="258">
        <v>17</v>
      </c>
      <c r="U42" s="258">
        <v>1</v>
      </c>
      <c r="V42" s="258">
        <v>0</v>
      </c>
      <c r="W42" s="258">
        <f t="shared" si="9"/>
        <v>18</v>
      </c>
      <c r="X42" s="258">
        <f t="shared" si="12"/>
        <v>18</v>
      </c>
      <c r="Y42" s="258">
        <f t="shared" si="12"/>
        <v>18</v>
      </c>
      <c r="Z42" s="258">
        <f t="shared" si="12"/>
        <v>18</v>
      </c>
      <c r="AA42" s="258">
        <f t="shared" si="12"/>
        <v>18</v>
      </c>
      <c r="AB42" s="283">
        <f t="shared" si="15"/>
        <v>1</v>
      </c>
      <c r="AC42" s="283">
        <f t="shared" si="16"/>
        <v>4</v>
      </c>
      <c r="AD42" s="283">
        <f t="shared" si="17"/>
        <v>5</v>
      </c>
    </row>
    <row r="43" spans="1:30" x14ac:dyDescent="0.3">
      <c r="A43" s="750"/>
      <c r="B43" s="205" t="s">
        <v>173</v>
      </c>
      <c r="C43" s="750"/>
      <c r="E43" s="283">
        <f t="shared" si="13"/>
        <v>1</v>
      </c>
      <c r="F43" s="258">
        <v>1</v>
      </c>
      <c r="G43" s="258">
        <f t="shared" ref="G43:J51" si="18">$F43</f>
        <v>1</v>
      </c>
      <c r="H43" s="258">
        <f t="shared" si="18"/>
        <v>1</v>
      </c>
      <c r="I43" s="258">
        <f t="shared" si="18"/>
        <v>1</v>
      </c>
      <c r="J43" s="258">
        <f t="shared" si="18"/>
        <v>1</v>
      </c>
      <c r="K43" s="480">
        <v>20</v>
      </c>
      <c r="L43" s="480">
        <f t="shared" si="14"/>
        <v>20</v>
      </c>
      <c r="M43" s="258">
        <v>20</v>
      </c>
      <c r="N43" s="258">
        <f t="shared" ref="N43:Q51" si="19">$M43</f>
        <v>20</v>
      </c>
      <c r="O43" s="258">
        <f t="shared" si="19"/>
        <v>20</v>
      </c>
      <c r="P43" s="258">
        <f t="shared" si="19"/>
        <v>20</v>
      </c>
      <c r="Q43" s="258">
        <f t="shared" si="19"/>
        <v>20</v>
      </c>
      <c r="R43" s="452">
        <v>34</v>
      </c>
      <c r="S43" s="480">
        <f t="shared" si="8"/>
        <v>21</v>
      </c>
      <c r="T43" s="258">
        <v>20</v>
      </c>
      <c r="U43" s="258">
        <v>1</v>
      </c>
      <c r="V43" s="258">
        <v>0</v>
      </c>
      <c r="W43" s="258">
        <f t="shared" si="9"/>
        <v>21</v>
      </c>
      <c r="X43" s="258">
        <f t="shared" ref="X43:AA51" si="20">$W43</f>
        <v>21</v>
      </c>
      <c r="Y43" s="258">
        <f t="shared" si="20"/>
        <v>21</v>
      </c>
      <c r="Z43" s="258">
        <f t="shared" si="20"/>
        <v>21</v>
      </c>
      <c r="AA43" s="258">
        <f t="shared" si="20"/>
        <v>21</v>
      </c>
      <c r="AB43" s="283">
        <f t="shared" si="15"/>
        <v>1</v>
      </c>
      <c r="AC43" s="283">
        <f t="shared" si="16"/>
        <v>4</v>
      </c>
      <c r="AD43" s="283">
        <f t="shared" si="17"/>
        <v>5</v>
      </c>
    </row>
    <row r="44" spans="1:30" x14ac:dyDescent="0.3">
      <c r="A44" s="750"/>
      <c r="B44" s="205" t="s">
        <v>174</v>
      </c>
      <c r="C44" s="750"/>
      <c r="E44" s="283">
        <f t="shared" si="13"/>
        <v>1</v>
      </c>
      <c r="F44" s="258">
        <v>1</v>
      </c>
      <c r="G44" s="258">
        <f t="shared" si="18"/>
        <v>1</v>
      </c>
      <c r="H44" s="258">
        <f t="shared" si="18"/>
        <v>1</v>
      </c>
      <c r="I44" s="258">
        <f t="shared" si="18"/>
        <v>1</v>
      </c>
      <c r="J44" s="258">
        <f t="shared" si="18"/>
        <v>1</v>
      </c>
      <c r="K44" s="480">
        <v>13</v>
      </c>
      <c r="L44" s="480">
        <f t="shared" si="14"/>
        <v>13</v>
      </c>
      <c r="M44" s="258">
        <v>13</v>
      </c>
      <c r="N44" s="258">
        <f t="shared" si="19"/>
        <v>13</v>
      </c>
      <c r="O44" s="258">
        <f t="shared" si="19"/>
        <v>13</v>
      </c>
      <c r="P44" s="258">
        <f t="shared" si="19"/>
        <v>13</v>
      </c>
      <c r="Q44" s="258">
        <f t="shared" si="19"/>
        <v>13</v>
      </c>
      <c r="R44" s="452">
        <v>17</v>
      </c>
      <c r="S44" s="480">
        <f t="shared" si="8"/>
        <v>14</v>
      </c>
      <c r="T44" s="258">
        <v>13</v>
      </c>
      <c r="U44" s="258">
        <v>1</v>
      </c>
      <c r="V44" s="258">
        <v>0</v>
      </c>
      <c r="W44" s="258">
        <f t="shared" si="9"/>
        <v>14</v>
      </c>
      <c r="X44" s="258">
        <f t="shared" si="20"/>
        <v>14</v>
      </c>
      <c r="Y44" s="258">
        <f t="shared" si="20"/>
        <v>14</v>
      </c>
      <c r="Z44" s="258">
        <f t="shared" si="20"/>
        <v>14</v>
      </c>
      <c r="AA44" s="258">
        <f t="shared" si="20"/>
        <v>14</v>
      </c>
      <c r="AB44" s="283">
        <f t="shared" si="15"/>
        <v>1</v>
      </c>
      <c r="AC44" s="283">
        <f t="shared" si="16"/>
        <v>4</v>
      </c>
      <c r="AD44" s="283">
        <f t="shared" si="17"/>
        <v>5</v>
      </c>
    </row>
    <row r="45" spans="1:30" x14ac:dyDescent="0.3">
      <c r="A45" s="750"/>
      <c r="B45" s="205" t="s">
        <v>175</v>
      </c>
      <c r="C45" s="750"/>
      <c r="E45" s="283">
        <f t="shared" si="13"/>
        <v>1</v>
      </c>
      <c r="F45" s="258">
        <v>1</v>
      </c>
      <c r="G45" s="258">
        <f t="shared" si="18"/>
        <v>1</v>
      </c>
      <c r="H45" s="258">
        <f t="shared" si="18"/>
        <v>1</v>
      </c>
      <c r="I45" s="258">
        <f t="shared" si="18"/>
        <v>1</v>
      </c>
      <c r="J45" s="258">
        <f t="shared" si="18"/>
        <v>1</v>
      </c>
      <c r="K45" s="480">
        <v>13</v>
      </c>
      <c r="L45" s="480">
        <f t="shared" si="14"/>
        <v>13</v>
      </c>
      <c r="M45" s="258">
        <v>13</v>
      </c>
      <c r="N45" s="258">
        <f t="shared" si="19"/>
        <v>13</v>
      </c>
      <c r="O45" s="258">
        <f t="shared" si="19"/>
        <v>13</v>
      </c>
      <c r="P45" s="258">
        <f t="shared" si="19"/>
        <v>13</v>
      </c>
      <c r="Q45" s="258">
        <f t="shared" si="19"/>
        <v>13</v>
      </c>
      <c r="R45" s="452">
        <v>20</v>
      </c>
      <c r="S45" s="480">
        <f t="shared" si="8"/>
        <v>20</v>
      </c>
      <c r="T45" s="258">
        <v>13</v>
      </c>
      <c r="U45" s="258">
        <v>1</v>
      </c>
      <c r="V45" s="258">
        <v>6</v>
      </c>
      <c r="W45" s="258">
        <f t="shared" si="9"/>
        <v>20</v>
      </c>
      <c r="X45" s="258">
        <f t="shared" si="20"/>
        <v>20</v>
      </c>
      <c r="Y45" s="258">
        <f t="shared" si="20"/>
        <v>20</v>
      </c>
      <c r="Z45" s="258">
        <f t="shared" si="20"/>
        <v>20</v>
      </c>
      <c r="AA45" s="258">
        <f t="shared" si="20"/>
        <v>20</v>
      </c>
      <c r="AB45" s="283">
        <f t="shared" si="15"/>
        <v>1</v>
      </c>
      <c r="AC45" s="283">
        <f t="shared" si="16"/>
        <v>4</v>
      </c>
      <c r="AD45" s="283">
        <f t="shared" si="17"/>
        <v>5</v>
      </c>
    </row>
    <row r="46" spans="1:30" x14ac:dyDescent="0.3">
      <c r="A46" s="750"/>
      <c r="B46" s="205" t="s">
        <v>176</v>
      </c>
      <c r="C46" s="750"/>
      <c r="E46" s="283">
        <f t="shared" si="13"/>
        <v>1</v>
      </c>
      <c r="F46" s="258">
        <v>1</v>
      </c>
      <c r="G46" s="258">
        <f t="shared" si="18"/>
        <v>1</v>
      </c>
      <c r="H46" s="258">
        <f t="shared" si="18"/>
        <v>1</v>
      </c>
      <c r="I46" s="258">
        <f t="shared" si="18"/>
        <v>1</v>
      </c>
      <c r="J46" s="258">
        <f t="shared" si="18"/>
        <v>1</v>
      </c>
      <c r="K46" s="480">
        <v>24</v>
      </c>
      <c r="L46" s="480">
        <f t="shared" si="14"/>
        <v>24</v>
      </c>
      <c r="M46" s="258">
        <v>24</v>
      </c>
      <c r="N46" s="258">
        <f t="shared" si="19"/>
        <v>24</v>
      </c>
      <c r="O46" s="258">
        <f t="shared" si="19"/>
        <v>24</v>
      </c>
      <c r="P46" s="258">
        <f t="shared" si="19"/>
        <v>24</v>
      </c>
      <c r="Q46" s="258">
        <f t="shared" si="19"/>
        <v>24</v>
      </c>
      <c r="R46" s="452">
        <v>31</v>
      </c>
      <c r="S46" s="480">
        <f t="shared" si="8"/>
        <v>27</v>
      </c>
      <c r="T46" s="258">
        <v>24</v>
      </c>
      <c r="U46" s="258">
        <v>1</v>
      </c>
      <c r="V46" s="258">
        <v>2</v>
      </c>
      <c r="W46" s="258">
        <f t="shared" si="9"/>
        <v>27</v>
      </c>
      <c r="X46" s="258">
        <f t="shared" si="20"/>
        <v>27</v>
      </c>
      <c r="Y46" s="258">
        <f t="shared" si="20"/>
        <v>27</v>
      </c>
      <c r="Z46" s="258">
        <f t="shared" si="20"/>
        <v>27</v>
      </c>
      <c r="AA46" s="258">
        <f t="shared" si="20"/>
        <v>27</v>
      </c>
      <c r="AB46" s="283">
        <f t="shared" si="15"/>
        <v>1</v>
      </c>
      <c r="AC46" s="283">
        <f t="shared" si="16"/>
        <v>4</v>
      </c>
      <c r="AD46" s="283">
        <f t="shared" si="17"/>
        <v>5</v>
      </c>
    </row>
    <row r="47" spans="1:30" x14ac:dyDescent="0.3">
      <c r="A47" s="750"/>
      <c r="B47" s="205" t="s">
        <v>177</v>
      </c>
      <c r="C47" s="750"/>
      <c r="E47" s="283">
        <f t="shared" si="13"/>
        <v>1</v>
      </c>
      <c r="F47" s="258">
        <v>1</v>
      </c>
      <c r="G47" s="258">
        <f t="shared" si="18"/>
        <v>1</v>
      </c>
      <c r="H47" s="258">
        <f t="shared" si="18"/>
        <v>1</v>
      </c>
      <c r="I47" s="258">
        <f t="shared" si="18"/>
        <v>1</v>
      </c>
      <c r="J47" s="258">
        <f t="shared" si="18"/>
        <v>1</v>
      </c>
      <c r="K47" s="480">
        <v>15</v>
      </c>
      <c r="L47" s="480">
        <f t="shared" si="14"/>
        <v>15</v>
      </c>
      <c r="M47" s="258">
        <v>15</v>
      </c>
      <c r="N47" s="258">
        <f t="shared" si="19"/>
        <v>15</v>
      </c>
      <c r="O47" s="258">
        <f t="shared" si="19"/>
        <v>15</v>
      </c>
      <c r="P47" s="258">
        <f t="shared" si="19"/>
        <v>15</v>
      </c>
      <c r="Q47" s="258">
        <f t="shared" si="19"/>
        <v>15</v>
      </c>
      <c r="R47" s="452">
        <v>16</v>
      </c>
      <c r="S47" s="480">
        <f t="shared" si="8"/>
        <v>21</v>
      </c>
      <c r="T47" s="258">
        <v>15</v>
      </c>
      <c r="U47" s="258">
        <v>1</v>
      </c>
      <c r="V47" s="258">
        <v>5</v>
      </c>
      <c r="W47" s="258">
        <f t="shared" si="9"/>
        <v>21</v>
      </c>
      <c r="X47" s="258">
        <f t="shared" si="20"/>
        <v>21</v>
      </c>
      <c r="Y47" s="258">
        <f t="shared" si="20"/>
        <v>21</v>
      </c>
      <c r="Z47" s="258">
        <f t="shared" si="20"/>
        <v>21</v>
      </c>
      <c r="AA47" s="258">
        <f t="shared" si="20"/>
        <v>21</v>
      </c>
      <c r="AB47" s="283">
        <f t="shared" si="15"/>
        <v>1</v>
      </c>
      <c r="AC47" s="283">
        <f t="shared" si="16"/>
        <v>4</v>
      </c>
      <c r="AD47" s="283">
        <f t="shared" si="17"/>
        <v>5</v>
      </c>
    </row>
    <row r="48" spans="1:30" x14ac:dyDescent="0.3">
      <c r="A48" s="750"/>
      <c r="B48" s="205" t="s">
        <v>178</v>
      </c>
      <c r="C48" s="750"/>
      <c r="E48" s="283">
        <f t="shared" si="13"/>
        <v>1</v>
      </c>
      <c r="F48" s="258">
        <v>1</v>
      </c>
      <c r="G48" s="258">
        <f t="shared" si="18"/>
        <v>1</v>
      </c>
      <c r="H48" s="258">
        <f t="shared" si="18"/>
        <v>1</v>
      </c>
      <c r="I48" s="258">
        <f t="shared" si="18"/>
        <v>1</v>
      </c>
      <c r="J48" s="258">
        <f t="shared" si="18"/>
        <v>1</v>
      </c>
      <c r="K48" s="480">
        <v>17</v>
      </c>
      <c r="L48" s="480">
        <f t="shared" si="14"/>
        <v>17</v>
      </c>
      <c r="M48" s="258">
        <v>17</v>
      </c>
      <c r="N48" s="258">
        <f t="shared" si="19"/>
        <v>17</v>
      </c>
      <c r="O48" s="258">
        <f t="shared" si="19"/>
        <v>17</v>
      </c>
      <c r="P48" s="258">
        <f t="shared" si="19"/>
        <v>17</v>
      </c>
      <c r="Q48" s="258">
        <f t="shared" si="19"/>
        <v>17</v>
      </c>
      <c r="R48" s="452">
        <v>38</v>
      </c>
      <c r="S48" s="480">
        <f t="shared" si="8"/>
        <v>19</v>
      </c>
      <c r="T48" s="258">
        <v>17</v>
      </c>
      <c r="U48" s="258">
        <v>1</v>
      </c>
      <c r="V48" s="258">
        <v>1</v>
      </c>
      <c r="W48" s="258">
        <f t="shared" si="9"/>
        <v>19</v>
      </c>
      <c r="X48" s="258">
        <f t="shared" si="20"/>
        <v>19</v>
      </c>
      <c r="Y48" s="258">
        <f t="shared" si="20"/>
        <v>19</v>
      </c>
      <c r="Z48" s="258">
        <f t="shared" si="20"/>
        <v>19</v>
      </c>
      <c r="AA48" s="258">
        <f t="shared" si="20"/>
        <v>19</v>
      </c>
      <c r="AB48" s="283">
        <f t="shared" si="15"/>
        <v>1</v>
      </c>
      <c r="AC48" s="283">
        <f t="shared" si="16"/>
        <v>4</v>
      </c>
      <c r="AD48" s="283">
        <f t="shared" si="17"/>
        <v>5</v>
      </c>
    </row>
    <row r="49" spans="1:30" x14ac:dyDescent="0.3">
      <c r="A49" s="750"/>
      <c r="B49" s="205" t="s">
        <v>179</v>
      </c>
      <c r="C49" s="750"/>
      <c r="E49" s="283">
        <f t="shared" si="13"/>
        <v>1</v>
      </c>
      <c r="F49" s="258">
        <v>1</v>
      </c>
      <c r="G49" s="258">
        <f t="shared" si="18"/>
        <v>1</v>
      </c>
      <c r="H49" s="258">
        <f t="shared" si="18"/>
        <v>1</v>
      </c>
      <c r="I49" s="258">
        <f t="shared" si="18"/>
        <v>1</v>
      </c>
      <c r="J49" s="258">
        <f t="shared" si="18"/>
        <v>1</v>
      </c>
      <c r="K49" s="480">
        <v>11</v>
      </c>
      <c r="L49" s="480">
        <f t="shared" si="14"/>
        <v>12</v>
      </c>
      <c r="M49" s="258">
        <v>12</v>
      </c>
      <c r="N49" s="258">
        <f t="shared" si="19"/>
        <v>12</v>
      </c>
      <c r="O49" s="258">
        <f t="shared" si="19"/>
        <v>12</v>
      </c>
      <c r="P49" s="258">
        <f t="shared" si="19"/>
        <v>12</v>
      </c>
      <c r="Q49" s="258">
        <f t="shared" si="19"/>
        <v>12</v>
      </c>
      <c r="R49" s="452">
        <v>12</v>
      </c>
      <c r="S49" s="480">
        <f t="shared" si="8"/>
        <v>15</v>
      </c>
      <c r="T49" s="258">
        <v>12</v>
      </c>
      <c r="U49" s="258">
        <v>1</v>
      </c>
      <c r="V49" s="258">
        <v>2</v>
      </c>
      <c r="W49" s="258">
        <f t="shared" si="9"/>
        <v>15</v>
      </c>
      <c r="X49" s="258">
        <f t="shared" si="20"/>
        <v>15</v>
      </c>
      <c r="Y49" s="258">
        <f t="shared" si="20"/>
        <v>15</v>
      </c>
      <c r="Z49" s="258">
        <f t="shared" si="20"/>
        <v>15</v>
      </c>
      <c r="AA49" s="258">
        <f t="shared" si="20"/>
        <v>15</v>
      </c>
      <c r="AB49" s="283">
        <f t="shared" si="15"/>
        <v>1</v>
      </c>
      <c r="AC49" s="283">
        <f t="shared" si="16"/>
        <v>4</v>
      </c>
      <c r="AD49" s="283">
        <f t="shared" si="17"/>
        <v>5</v>
      </c>
    </row>
    <row r="50" spans="1:30" x14ac:dyDescent="0.3">
      <c r="A50" s="750"/>
      <c r="B50" s="205" t="s">
        <v>180</v>
      </c>
      <c r="C50" s="750"/>
      <c r="E50" s="283">
        <f t="shared" si="13"/>
        <v>1</v>
      </c>
      <c r="F50" s="258">
        <v>1</v>
      </c>
      <c r="G50" s="258">
        <f t="shared" si="18"/>
        <v>1</v>
      </c>
      <c r="H50" s="258">
        <f t="shared" si="18"/>
        <v>1</v>
      </c>
      <c r="I50" s="258">
        <f t="shared" si="18"/>
        <v>1</v>
      </c>
      <c r="J50" s="258">
        <f t="shared" si="18"/>
        <v>1</v>
      </c>
      <c r="K50" s="480">
        <v>13</v>
      </c>
      <c r="L50" s="480">
        <f t="shared" si="14"/>
        <v>14</v>
      </c>
      <c r="M50" s="258">
        <v>14</v>
      </c>
      <c r="N50" s="258">
        <f t="shared" si="19"/>
        <v>14</v>
      </c>
      <c r="O50" s="258">
        <f t="shared" si="19"/>
        <v>14</v>
      </c>
      <c r="P50" s="258">
        <f t="shared" si="19"/>
        <v>14</v>
      </c>
      <c r="Q50" s="258">
        <f t="shared" si="19"/>
        <v>14</v>
      </c>
      <c r="R50" s="452">
        <v>16</v>
      </c>
      <c r="S50" s="480">
        <f t="shared" si="8"/>
        <v>20</v>
      </c>
      <c r="T50" s="258">
        <v>14</v>
      </c>
      <c r="U50" s="258">
        <v>1</v>
      </c>
      <c r="V50" s="258">
        <v>5</v>
      </c>
      <c r="W50" s="258">
        <f t="shared" si="9"/>
        <v>20</v>
      </c>
      <c r="X50" s="258">
        <f t="shared" si="20"/>
        <v>20</v>
      </c>
      <c r="Y50" s="258">
        <f t="shared" si="20"/>
        <v>20</v>
      </c>
      <c r="Z50" s="258">
        <f t="shared" si="20"/>
        <v>20</v>
      </c>
      <c r="AA50" s="258">
        <f t="shared" si="20"/>
        <v>20</v>
      </c>
      <c r="AB50" s="283">
        <f t="shared" si="15"/>
        <v>1</v>
      </c>
      <c r="AC50" s="283">
        <f t="shared" si="16"/>
        <v>4</v>
      </c>
      <c r="AD50" s="283">
        <f t="shared" si="17"/>
        <v>5</v>
      </c>
    </row>
    <row r="51" spans="1:30" x14ac:dyDescent="0.3">
      <c r="A51" s="750"/>
      <c r="B51" s="205" t="s">
        <v>181</v>
      </c>
      <c r="C51" s="750"/>
      <c r="E51" s="283">
        <f t="shared" si="13"/>
        <v>1</v>
      </c>
      <c r="F51" s="258">
        <v>1</v>
      </c>
      <c r="G51" s="258">
        <f t="shared" si="18"/>
        <v>1</v>
      </c>
      <c r="H51" s="258">
        <f t="shared" si="18"/>
        <v>1</v>
      </c>
      <c r="I51" s="258">
        <f t="shared" si="18"/>
        <v>1</v>
      </c>
      <c r="J51" s="258">
        <f t="shared" si="18"/>
        <v>1</v>
      </c>
      <c r="K51" s="480">
        <v>12</v>
      </c>
      <c r="L51" s="480">
        <f t="shared" si="14"/>
        <v>13</v>
      </c>
      <c r="M51" s="258">
        <v>13</v>
      </c>
      <c r="N51" s="258">
        <f t="shared" si="19"/>
        <v>13</v>
      </c>
      <c r="O51" s="258">
        <f t="shared" si="19"/>
        <v>13</v>
      </c>
      <c r="P51" s="258">
        <f t="shared" si="19"/>
        <v>13</v>
      </c>
      <c r="Q51" s="258">
        <f t="shared" si="19"/>
        <v>13</v>
      </c>
      <c r="R51" s="452">
        <v>13</v>
      </c>
      <c r="S51" s="480">
        <f t="shared" si="8"/>
        <v>17</v>
      </c>
      <c r="T51" s="258">
        <v>13</v>
      </c>
      <c r="U51" s="258">
        <v>1</v>
      </c>
      <c r="V51" s="258">
        <v>3</v>
      </c>
      <c r="W51" s="258">
        <f t="shared" si="9"/>
        <v>17</v>
      </c>
      <c r="X51" s="258">
        <f t="shared" si="20"/>
        <v>17</v>
      </c>
      <c r="Y51" s="258">
        <f t="shared" si="20"/>
        <v>17</v>
      </c>
      <c r="Z51" s="258">
        <f t="shared" si="20"/>
        <v>17</v>
      </c>
      <c r="AA51" s="258">
        <f t="shared" si="20"/>
        <v>17</v>
      </c>
      <c r="AB51" s="283">
        <f t="shared" si="15"/>
        <v>1</v>
      </c>
      <c r="AC51" s="283">
        <f t="shared" si="16"/>
        <v>4</v>
      </c>
      <c r="AD51" s="283">
        <f t="shared" si="17"/>
        <v>5</v>
      </c>
    </row>
    <row r="52" spans="1:30" x14ac:dyDescent="0.3">
      <c r="A52" s="750" t="s">
        <v>131</v>
      </c>
      <c r="B52" s="205" t="s">
        <v>182</v>
      </c>
      <c r="C52" s="750">
        <v>0</v>
      </c>
      <c r="E52" s="283">
        <f t="shared" si="13"/>
        <v>0.5</v>
      </c>
      <c r="F52" s="258">
        <v>1</v>
      </c>
      <c r="G52" s="258">
        <f t="shared" ref="G52:H54" si="21">$F52</f>
        <v>1</v>
      </c>
      <c r="H52" s="258">
        <f t="shared" si="21"/>
        <v>1</v>
      </c>
      <c r="I52" s="258"/>
      <c r="J52" s="258"/>
      <c r="K52" s="480">
        <v>20</v>
      </c>
      <c r="L52" s="480">
        <f t="shared" si="14"/>
        <v>10</v>
      </c>
      <c r="M52" s="258">
        <v>20</v>
      </c>
      <c r="N52" s="258">
        <f t="shared" ref="N52:O54" si="22">$M52</f>
        <v>20</v>
      </c>
      <c r="O52" s="258">
        <f t="shared" si="22"/>
        <v>20</v>
      </c>
      <c r="P52" s="258"/>
      <c r="Q52" s="258"/>
      <c r="R52" s="452">
        <v>21</v>
      </c>
      <c r="S52" s="480">
        <f t="shared" si="8"/>
        <v>22</v>
      </c>
      <c r="T52" s="258">
        <v>20</v>
      </c>
      <c r="U52" s="258">
        <v>1</v>
      </c>
      <c r="V52" s="258">
        <v>23</v>
      </c>
      <c r="W52" s="258">
        <f t="shared" si="9"/>
        <v>44</v>
      </c>
      <c r="X52" s="258">
        <f t="shared" ref="X52:Y54" si="23">$W52</f>
        <v>44</v>
      </c>
      <c r="Y52" s="258">
        <f t="shared" si="23"/>
        <v>44</v>
      </c>
      <c r="Z52" s="258"/>
      <c r="AA52" s="258"/>
      <c r="AB52" s="283"/>
      <c r="AC52" s="283"/>
      <c r="AD52" s="283">
        <f t="shared" si="17"/>
        <v>0</v>
      </c>
    </row>
    <row r="53" spans="1:30" x14ac:dyDescent="0.3">
      <c r="A53" s="750"/>
      <c r="B53" s="205" t="s">
        <v>183</v>
      </c>
      <c r="C53" s="750"/>
      <c r="E53" s="283">
        <f t="shared" si="13"/>
        <v>0.5</v>
      </c>
      <c r="F53" s="258">
        <v>1</v>
      </c>
      <c r="G53" s="258">
        <f t="shared" si="21"/>
        <v>1</v>
      </c>
      <c r="H53" s="258">
        <f t="shared" si="21"/>
        <v>1</v>
      </c>
      <c r="I53" s="258"/>
      <c r="J53" s="258"/>
      <c r="K53" s="480">
        <v>17</v>
      </c>
      <c r="L53" s="480">
        <f t="shared" si="14"/>
        <v>8.5</v>
      </c>
      <c r="M53" s="258">
        <v>17</v>
      </c>
      <c r="N53" s="258">
        <f t="shared" si="22"/>
        <v>17</v>
      </c>
      <c r="O53" s="258">
        <f t="shared" si="22"/>
        <v>17</v>
      </c>
      <c r="P53" s="258"/>
      <c r="Q53" s="258"/>
      <c r="R53" s="452">
        <v>32</v>
      </c>
      <c r="S53" s="480">
        <f t="shared" si="8"/>
        <v>26.5</v>
      </c>
      <c r="T53" s="258">
        <v>17</v>
      </c>
      <c r="U53" s="258">
        <v>1</v>
      </c>
      <c r="V53" s="258">
        <v>35</v>
      </c>
      <c r="W53" s="258">
        <f t="shared" si="9"/>
        <v>53</v>
      </c>
      <c r="X53" s="258">
        <f t="shared" si="23"/>
        <v>53</v>
      </c>
      <c r="Y53" s="258">
        <f t="shared" si="23"/>
        <v>53</v>
      </c>
      <c r="Z53" s="258"/>
      <c r="AA53" s="258"/>
      <c r="AB53" s="283"/>
      <c r="AC53" s="283"/>
      <c r="AD53" s="283">
        <f t="shared" si="17"/>
        <v>0</v>
      </c>
    </row>
    <row r="54" spans="1:30" x14ac:dyDescent="0.3">
      <c r="A54" s="750"/>
      <c r="B54" s="205" t="s">
        <v>184</v>
      </c>
      <c r="C54" s="750"/>
      <c r="D54" s="202"/>
      <c r="E54" s="283">
        <f t="shared" si="13"/>
        <v>0.5</v>
      </c>
      <c r="F54" s="258">
        <v>1</v>
      </c>
      <c r="G54" s="258">
        <f t="shared" si="21"/>
        <v>1</v>
      </c>
      <c r="H54" s="258">
        <f t="shared" si="21"/>
        <v>1</v>
      </c>
      <c r="I54" s="258"/>
      <c r="J54" s="258"/>
      <c r="K54" s="480">
        <v>17</v>
      </c>
      <c r="L54" s="480">
        <f t="shared" si="14"/>
        <v>8.5</v>
      </c>
      <c r="M54" s="258">
        <v>17</v>
      </c>
      <c r="N54" s="258">
        <f t="shared" si="22"/>
        <v>17</v>
      </c>
      <c r="O54" s="258">
        <f t="shared" si="22"/>
        <v>17</v>
      </c>
      <c r="P54" s="258"/>
      <c r="Q54" s="258"/>
      <c r="R54" s="452">
        <v>28</v>
      </c>
      <c r="S54" s="480">
        <f t="shared" si="8"/>
        <v>19</v>
      </c>
      <c r="T54" s="258">
        <v>17</v>
      </c>
      <c r="U54" s="258">
        <v>1</v>
      </c>
      <c r="V54" s="258">
        <v>20</v>
      </c>
      <c r="W54" s="258">
        <f t="shared" si="9"/>
        <v>38</v>
      </c>
      <c r="X54" s="258">
        <f t="shared" si="23"/>
        <v>38</v>
      </c>
      <c r="Y54" s="258">
        <f t="shared" si="23"/>
        <v>38</v>
      </c>
      <c r="Z54" s="258"/>
      <c r="AA54" s="258"/>
      <c r="AB54" s="283"/>
      <c r="AC54" s="283"/>
      <c r="AD54" s="283">
        <f t="shared" si="17"/>
        <v>0</v>
      </c>
    </row>
    <row r="55" spans="1:30" x14ac:dyDescent="0.3">
      <c r="A55" s="749" t="s">
        <v>591</v>
      </c>
      <c r="B55" s="465" t="s">
        <v>593</v>
      </c>
      <c r="C55" s="753">
        <v>0</v>
      </c>
      <c r="D55" s="202"/>
      <c r="E55" s="480">
        <v>0</v>
      </c>
      <c r="F55" s="258">
        <v>0</v>
      </c>
      <c r="G55" s="258">
        <f>E55*1.03</f>
        <v>0</v>
      </c>
      <c r="H55" s="258">
        <f>(G55*1.03)/2</f>
        <v>0</v>
      </c>
      <c r="I55" s="258"/>
      <c r="J55" s="258"/>
      <c r="K55" s="480">
        <v>18</v>
      </c>
      <c r="L55" s="480"/>
      <c r="M55" s="258"/>
      <c r="N55" s="258">
        <f t="shared" ref="N55:O58" si="24">$M55</f>
        <v>0</v>
      </c>
      <c r="O55" s="258">
        <f t="shared" si="24"/>
        <v>0</v>
      </c>
      <c r="P55" s="258"/>
      <c r="Q55" s="258"/>
      <c r="R55" s="452">
        <v>16</v>
      </c>
      <c r="S55" s="480"/>
      <c r="T55" s="480"/>
      <c r="U55" s="480"/>
      <c r="V55" s="480"/>
      <c r="W55" s="480"/>
      <c r="X55" s="480"/>
      <c r="Y55" s="480"/>
      <c r="Z55" s="480"/>
      <c r="AA55" s="480"/>
      <c r="AB55" s="202"/>
      <c r="AC55" s="202"/>
      <c r="AD55" s="202"/>
    </row>
    <row r="56" spans="1:30" x14ac:dyDescent="0.3">
      <c r="A56" s="750"/>
      <c r="B56" s="465" t="s">
        <v>594</v>
      </c>
      <c r="C56" s="754"/>
      <c r="D56" s="202"/>
      <c r="E56" s="480">
        <v>0</v>
      </c>
      <c r="F56" s="258">
        <v>0</v>
      </c>
      <c r="G56" s="258">
        <f>E56*1.03</f>
        <v>0</v>
      </c>
      <c r="H56" s="258"/>
      <c r="I56" s="258"/>
      <c r="J56" s="258"/>
      <c r="K56" s="480">
        <v>16</v>
      </c>
      <c r="L56" s="480"/>
      <c r="M56" s="258"/>
      <c r="N56" s="258">
        <f t="shared" si="24"/>
        <v>0</v>
      </c>
      <c r="O56" s="258">
        <f t="shared" si="24"/>
        <v>0</v>
      </c>
      <c r="P56" s="258"/>
      <c r="Q56" s="258"/>
      <c r="R56" s="452">
        <v>15</v>
      </c>
      <c r="S56" s="480"/>
      <c r="T56" s="480"/>
      <c r="U56" s="480"/>
      <c r="V56" s="480"/>
      <c r="W56" s="480"/>
      <c r="X56" s="480"/>
      <c r="Y56" s="480"/>
      <c r="Z56" s="480"/>
      <c r="AA56" s="480"/>
      <c r="AB56" s="202"/>
      <c r="AC56" s="202"/>
      <c r="AD56" s="202"/>
    </row>
    <row r="57" spans="1:30" x14ac:dyDescent="0.3">
      <c r="A57" s="751"/>
      <c r="B57" s="465" t="s">
        <v>595</v>
      </c>
      <c r="C57" s="754"/>
      <c r="D57" s="202"/>
      <c r="E57" s="480">
        <v>0</v>
      </c>
      <c r="F57" s="258">
        <v>0</v>
      </c>
      <c r="G57" s="258">
        <f>E57*1.03</f>
        <v>0</v>
      </c>
      <c r="H57" s="258"/>
      <c r="I57" s="258"/>
      <c r="J57" s="258"/>
      <c r="K57" s="480">
        <v>13</v>
      </c>
      <c r="L57" s="480"/>
      <c r="M57" s="258"/>
      <c r="N57" s="258">
        <f t="shared" si="24"/>
        <v>0</v>
      </c>
      <c r="O57" s="258">
        <f t="shared" si="24"/>
        <v>0</v>
      </c>
      <c r="P57" s="258"/>
      <c r="Q57" s="258"/>
      <c r="R57" s="452">
        <v>13</v>
      </c>
      <c r="S57" s="480"/>
      <c r="T57" s="480"/>
      <c r="U57" s="480"/>
      <c r="V57" s="480"/>
      <c r="W57" s="480"/>
      <c r="X57" s="480"/>
      <c r="Y57" s="480"/>
      <c r="Z57" s="480"/>
      <c r="AA57" s="480"/>
      <c r="AB57" s="202"/>
      <c r="AC57" s="202"/>
      <c r="AD57" s="202"/>
    </row>
    <row r="58" spans="1:30" ht="15" thickBot="1" x14ac:dyDescent="0.35">
      <c r="A58" s="752"/>
      <c r="B58" s="464" t="s">
        <v>592</v>
      </c>
      <c r="C58" s="755"/>
      <c r="D58" s="202"/>
      <c r="E58" s="480">
        <v>0</v>
      </c>
      <c r="F58" s="258">
        <v>0</v>
      </c>
      <c r="G58" s="258">
        <f>E58*1.03</f>
        <v>0</v>
      </c>
      <c r="H58" s="258">
        <f>(G58*1.03)/2</f>
        <v>0</v>
      </c>
      <c r="I58" s="258"/>
      <c r="J58" s="258"/>
      <c r="K58" s="480">
        <v>18</v>
      </c>
      <c r="L58" s="480"/>
      <c r="M58" s="258"/>
      <c r="N58" s="258">
        <f t="shared" si="24"/>
        <v>0</v>
      </c>
      <c r="O58" s="258">
        <f t="shared" si="24"/>
        <v>0</v>
      </c>
      <c r="P58" s="258"/>
      <c r="Q58" s="258"/>
      <c r="R58" s="452">
        <v>18</v>
      </c>
      <c r="S58" s="480"/>
      <c r="T58" s="480"/>
      <c r="U58" s="480"/>
      <c r="V58" s="480"/>
      <c r="W58" s="480"/>
      <c r="X58" s="480"/>
      <c r="Y58" s="480"/>
      <c r="Z58" s="480"/>
      <c r="AA58" s="480"/>
      <c r="AB58" s="202"/>
      <c r="AC58" s="202"/>
      <c r="AD58" s="202"/>
    </row>
    <row r="59" spans="1:30" x14ac:dyDescent="0.3">
      <c r="A59" s="261" t="s">
        <v>193</v>
      </c>
      <c r="B59" s="262"/>
      <c r="C59" s="263">
        <f>SUM(C3:C54)</f>
        <v>4</v>
      </c>
      <c r="D59" s="202"/>
      <c r="E59" s="263">
        <f>ROUNDUP(SUM(E3:E54),0)</f>
        <v>51</v>
      </c>
      <c r="F59" s="265">
        <f>SUM(F3:F54)</f>
        <v>52</v>
      </c>
      <c r="G59" s="265">
        <f t="shared" ref="G59:K59" si="25">SUM(G3:G54)</f>
        <v>52</v>
      </c>
      <c r="H59" s="265">
        <f t="shared" si="25"/>
        <v>52</v>
      </c>
      <c r="I59" s="265">
        <f t="shared" si="25"/>
        <v>49</v>
      </c>
      <c r="J59" s="265">
        <f t="shared" si="25"/>
        <v>49</v>
      </c>
      <c r="K59" s="263">
        <f t="shared" si="25"/>
        <v>878</v>
      </c>
      <c r="L59" s="263">
        <f>SUM(L3:L58)</f>
        <v>874</v>
      </c>
      <c r="M59" s="265">
        <f>SUM(M3:M58)</f>
        <v>901</v>
      </c>
      <c r="N59" s="265">
        <f t="shared" ref="N59:Q59" si="26">SUM(N3:N58)</f>
        <v>901</v>
      </c>
      <c r="O59" s="265">
        <f t="shared" si="26"/>
        <v>901</v>
      </c>
      <c r="P59" s="265">
        <f t="shared" si="26"/>
        <v>847</v>
      </c>
      <c r="Q59" s="265">
        <f t="shared" si="26"/>
        <v>847</v>
      </c>
      <c r="R59" s="455">
        <f>SUM(R3:R58)</f>
        <v>1848</v>
      </c>
      <c r="S59" s="455">
        <f>SUM(S3:S58)</f>
        <v>1774.5</v>
      </c>
      <c r="T59" s="265">
        <f>SUM(T3:T54)</f>
        <v>901</v>
      </c>
      <c r="U59" s="265">
        <f>SUM(U3:U54)</f>
        <v>52</v>
      </c>
      <c r="V59" s="265">
        <f>SUM(V3:V54)</f>
        <v>889</v>
      </c>
      <c r="W59" s="265">
        <f>SUM(W3:W58)</f>
        <v>1842</v>
      </c>
      <c r="X59" s="265">
        <f>SUM(X3:X58)</f>
        <v>1842</v>
      </c>
      <c r="Y59" s="265">
        <f t="shared" ref="Y59:AA59" si="27">SUM(Y3:Y58)</f>
        <v>1842</v>
      </c>
      <c r="Z59" s="265">
        <f t="shared" si="27"/>
        <v>1707</v>
      </c>
      <c r="AA59" s="265">
        <f t="shared" si="27"/>
        <v>1707</v>
      </c>
      <c r="AB59" s="263">
        <f>SUM(AB3:AB54)</f>
        <v>49</v>
      </c>
      <c r="AC59" s="263">
        <f>SUM(AC3:AC54)</f>
        <v>196</v>
      </c>
      <c r="AD59" s="263">
        <f>SUM(AD3:AD54)</f>
        <v>245</v>
      </c>
    </row>
  </sheetData>
  <mergeCells count="16">
    <mergeCell ref="A55:A58"/>
    <mergeCell ref="C55:C58"/>
    <mergeCell ref="K1:Q1"/>
    <mergeCell ref="R1:AA1"/>
    <mergeCell ref="AB1:AD1"/>
    <mergeCell ref="A41:A51"/>
    <mergeCell ref="A52:A54"/>
    <mergeCell ref="D1:J1"/>
    <mergeCell ref="A3:A13"/>
    <mergeCell ref="A14:A30"/>
    <mergeCell ref="A31:A40"/>
    <mergeCell ref="C3:C13"/>
    <mergeCell ref="C14:C30"/>
    <mergeCell ref="C31:C40"/>
    <mergeCell ref="C41:C51"/>
    <mergeCell ref="C52:C54"/>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59"/>
  <sheetViews>
    <sheetView topLeftCell="A44" workbookViewId="0">
      <pane xSplit="2" topLeftCell="M1" activePane="topRight" state="frozen"/>
      <selection pane="topRight" activeCell="Q59" sqref="Q59"/>
    </sheetView>
  </sheetViews>
  <sheetFormatPr defaultColWidth="9.21875" defaultRowHeight="14.4" x14ac:dyDescent="0.3"/>
  <cols>
    <col min="1" max="1" width="20.77734375" style="204" customWidth="1"/>
    <col min="2" max="2" width="20.77734375" style="202" customWidth="1"/>
    <col min="3" max="3" width="13.77734375" style="203" bestFit="1" customWidth="1"/>
    <col min="4" max="10" width="10.77734375" style="203" customWidth="1"/>
    <col min="11" max="18" width="9.21875" style="203" customWidth="1"/>
    <col min="19" max="19" width="9.21875" style="202" customWidth="1"/>
    <col min="20" max="16384" width="9.21875" style="202"/>
  </cols>
  <sheetData>
    <row r="1" spans="1:22" ht="15" thickBot="1" x14ac:dyDescent="0.35">
      <c r="A1" s="212"/>
      <c r="B1" s="213"/>
      <c r="C1" s="214"/>
      <c r="D1" s="764" t="s">
        <v>191</v>
      </c>
      <c r="E1" s="765"/>
      <c r="F1" s="765"/>
      <c r="G1" s="765"/>
      <c r="H1" s="765"/>
      <c r="I1" s="765"/>
      <c r="J1" s="766"/>
      <c r="K1" s="767" t="s">
        <v>192</v>
      </c>
      <c r="L1" s="768"/>
      <c r="M1" s="768"/>
      <c r="N1" s="768"/>
      <c r="O1" s="768"/>
      <c r="P1" s="768"/>
      <c r="Q1" s="769"/>
      <c r="R1" s="762"/>
      <c r="S1" s="763"/>
      <c r="T1" s="763"/>
      <c r="U1" s="763"/>
      <c r="V1" s="763"/>
    </row>
    <row r="2" spans="1:22" ht="15.6" thickTop="1" thickBot="1" x14ac:dyDescent="0.35">
      <c r="A2" s="221" t="s">
        <v>126</v>
      </c>
      <c r="B2" s="222" t="s">
        <v>132</v>
      </c>
      <c r="C2" s="228" t="s">
        <v>185</v>
      </c>
      <c r="D2" s="227" t="s">
        <v>119</v>
      </c>
      <c r="E2" s="223" t="s">
        <v>120</v>
      </c>
      <c r="F2" s="223" t="s">
        <v>121</v>
      </c>
      <c r="G2" s="223" t="s">
        <v>122</v>
      </c>
      <c r="H2" s="223" t="s">
        <v>123</v>
      </c>
      <c r="I2" s="223" t="s">
        <v>124</v>
      </c>
      <c r="J2" s="224" t="s">
        <v>125</v>
      </c>
      <c r="K2" s="227" t="s">
        <v>186</v>
      </c>
      <c r="L2" s="227" t="s">
        <v>630</v>
      </c>
      <c r="M2" s="223" t="s">
        <v>187</v>
      </c>
      <c r="N2" s="223" t="s">
        <v>188</v>
      </c>
      <c r="O2" s="223" t="s">
        <v>189</v>
      </c>
      <c r="P2" s="223" t="s">
        <v>190</v>
      </c>
      <c r="Q2" s="224" t="s">
        <v>198</v>
      </c>
      <c r="R2" s="225" t="s">
        <v>199</v>
      </c>
      <c r="S2" s="226" t="s">
        <v>194</v>
      </c>
      <c r="T2" s="226" t="s">
        <v>195</v>
      </c>
      <c r="U2" s="226" t="s">
        <v>196</v>
      </c>
      <c r="V2" s="226" t="s">
        <v>197</v>
      </c>
    </row>
    <row r="3" spans="1:22" ht="15" thickTop="1" x14ac:dyDescent="0.3">
      <c r="A3" s="749" t="s">
        <v>127</v>
      </c>
      <c r="B3" s="215" t="s">
        <v>133</v>
      </c>
      <c r="C3" s="217">
        <v>24</v>
      </c>
      <c r="D3" s="218">
        <v>265851</v>
      </c>
      <c r="E3" s="216">
        <v>273829</v>
      </c>
      <c r="F3" s="216">
        <v>282040</v>
      </c>
      <c r="G3" s="216">
        <v>290505</v>
      </c>
      <c r="H3" s="216">
        <v>299221</v>
      </c>
      <c r="I3" s="216">
        <v>308198</v>
      </c>
      <c r="J3" s="217">
        <v>317430</v>
      </c>
      <c r="K3" s="218">
        <v>265853</v>
      </c>
      <c r="L3" s="516">
        <f>K3*0.75</f>
        <v>199389.75</v>
      </c>
      <c r="M3" s="486">
        <v>273828.59000000003</v>
      </c>
      <c r="N3" s="486">
        <v>282043.44770000002</v>
      </c>
      <c r="O3" s="486">
        <v>290504.75113100006</v>
      </c>
      <c r="P3" s="486">
        <v>299219.89366493007</v>
      </c>
      <c r="Q3" s="219">
        <f>SUM(S3:V3)</f>
        <v>310506</v>
      </c>
      <c r="R3" s="220">
        <f t="shared" ref="R3:R34" si="0">ROUND((I3*0.75)+(J3*0.25),0)</f>
        <v>310506</v>
      </c>
      <c r="S3" s="207">
        <f>$R3/4</f>
        <v>77626.5</v>
      </c>
      <c r="T3" s="207">
        <f t="shared" ref="T3:V18" si="1">$R3/4</f>
        <v>77626.5</v>
      </c>
      <c r="U3" s="207">
        <f t="shared" si="1"/>
        <v>77626.5</v>
      </c>
      <c r="V3" s="207">
        <f t="shared" si="1"/>
        <v>77626.5</v>
      </c>
    </row>
    <row r="4" spans="1:22" x14ac:dyDescent="0.3">
      <c r="A4" s="750"/>
      <c r="B4" s="205" t="s">
        <v>134</v>
      </c>
      <c r="C4" s="209">
        <v>11</v>
      </c>
      <c r="D4" s="208">
        <v>109020</v>
      </c>
      <c r="E4" s="206">
        <v>112290</v>
      </c>
      <c r="F4" s="206">
        <v>115660</v>
      </c>
      <c r="G4" s="206">
        <v>119129</v>
      </c>
      <c r="H4" s="206">
        <v>119128</v>
      </c>
      <c r="I4" s="206">
        <v>122702</v>
      </c>
      <c r="J4" s="209">
        <v>126378</v>
      </c>
      <c r="K4" s="208">
        <v>109020</v>
      </c>
      <c r="L4" s="516">
        <f>K4*0.75</f>
        <v>81765</v>
      </c>
      <c r="M4" s="256">
        <v>112290.6</v>
      </c>
      <c r="N4" s="256">
        <v>115659.31800000001</v>
      </c>
      <c r="O4" s="256">
        <v>119129.09754000002</v>
      </c>
      <c r="P4" s="256">
        <v>122702.97046620001</v>
      </c>
      <c r="Q4" s="211">
        <f t="shared" ref="Q4:Q54" si="2">SUM(S4:V4)</f>
        <v>123621</v>
      </c>
      <c r="R4" s="210">
        <f t="shared" si="0"/>
        <v>123621</v>
      </c>
      <c r="S4" s="207">
        <f t="shared" ref="S4:V35" si="3">$R4/4</f>
        <v>30905.25</v>
      </c>
      <c r="T4" s="207">
        <f t="shared" si="1"/>
        <v>30905.25</v>
      </c>
      <c r="U4" s="207">
        <f t="shared" si="1"/>
        <v>30905.25</v>
      </c>
      <c r="V4" s="207">
        <f t="shared" si="1"/>
        <v>30905.25</v>
      </c>
    </row>
    <row r="5" spans="1:22" x14ac:dyDescent="0.3">
      <c r="A5" s="750"/>
      <c r="B5" s="205" t="s">
        <v>135</v>
      </c>
      <c r="C5" s="209">
        <v>22</v>
      </c>
      <c r="D5" s="208">
        <v>302018</v>
      </c>
      <c r="E5" s="206">
        <v>311081</v>
      </c>
      <c r="F5" s="206">
        <v>320412</v>
      </c>
      <c r="G5" s="206">
        <v>330021</v>
      </c>
      <c r="H5" s="206">
        <v>339923</v>
      </c>
      <c r="I5" s="206">
        <v>350120</v>
      </c>
      <c r="J5" s="209">
        <v>360610</v>
      </c>
      <c r="K5" s="208">
        <v>302019</v>
      </c>
      <c r="L5" s="491">
        <f>K5</f>
        <v>302019</v>
      </c>
      <c r="M5" s="256">
        <v>311079.57</v>
      </c>
      <c r="N5" s="256">
        <v>320411.9571</v>
      </c>
      <c r="O5" s="256">
        <v>330024.31581300002</v>
      </c>
      <c r="P5" s="256">
        <v>339925.04528739001</v>
      </c>
      <c r="Q5" s="211">
        <f t="shared" si="2"/>
        <v>352743</v>
      </c>
      <c r="R5" s="210">
        <f>ROUND((I5*0.75)+(J5*0.25),0)</f>
        <v>352743</v>
      </c>
      <c r="S5" s="207">
        <f t="shared" si="3"/>
        <v>88185.75</v>
      </c>
      <c r="T5" s="207">
        <f t="shared" si="1"/>
        <v>88185.75</v>
      </c>
      <c r="U5" s="207">
        <f t="shared" si="1"/>
        <v>88185.75</v>
      </c>
      <c r="V5" s="207">
        <f t="shared" si="1"/>
        <v>88185.75</v>
      </c>
    </row>
    <row r="6" spans="1:22" x14ac:dyDescent="0.3">
      <c r="A6" s="750"/>
      <c r="B6" s="205" t="s">
        <v>136</v>
      </c>
      <c r="C6" s="209">
        <v>13</v>
      </c>
      <c r="D6" s="208">
        <v>87088</v>
      </c>
      <c r="E6" s="206">
        <v>89702</v>
      </c>
      <c r="F6" s="206">
        <v>92391</v>
      </c>
      <c r="G6" s="206">
        <v>95164</v>
      </c>
      <c r="H6" s="206">
        <v>98021</v>
      </c>
      <c r="I6" s="206">
        <v>100963</v>
      </c>
      <c r="J6" s="209">
        <v>103986</v>
      </c>
      <c r="K6" s="208">
        <v>87088</v>
      </c>
      <c r="L6" s="516">
        <f>K6*0.75</f>
        <v>65316</v>
      </c>
      <c r="M6" s="256">
        <v>89700.64</v>
      </c>
      <c r="N6" s="256">
        <v>92391.659199999995</v>
      </c>
      <c r="O6" s="256">
        <v>95163.408975999992</v>
      </c>
      <c r="P6" s="256">
        <v>98018.311245279998</v>
      </c>
      <c r="Q6" s="211">
        <f t="shared" si="2"/>
        <v>101719</v>
      </c>
      <c r="R6" s="210">
        <f t="shared" si="0"/>
        <v>101719</v>
      </c>
      <c r="S6" s="207">
        <f t="shared" si="3"/>
        <v>25429.75</v>
      </c>
      <c r="T6" s="207">
        <f t="shared" si="1"/>
        <v>25429.75</v>
      </c>
      <c r="U6" s="207">
        <f t="shared" si="1"/>
        <v>25429.75</v>
      </c>
      <c r="V6" s="207">
        <f t="shared" si="1"/>
        <v>25429.75</v>
      </c>
    </row>
    <row r="7" spans="1:22" x14ac:dyDescent="0.3">
      <c r="A7" s="750"/>
      <c r="B7" s="205" t="s">
        <v>137</v>
      </c>
      <c r="C7" s="209">
        <v>9</v>
      </c>
      <c r="D7" s="208">
        <v>134795</v>
      </c>
      <c r="E7" s="206">
        <v>138838</v>
      </c>
      <c r="F7" s="206">
        <v>143004</v>
      </c>
      <c r="G7" s="206">
        <v>147294</v>
      </c>
      <c r="H7" s="206">
        <v>151713</v>
      </c>
      <c r="I7" s="206">
        <v>156265</v>
      </c>
      <c r="J7" s="209">
        <v>160949</v>
      </c>
      <c r="K7" s="208">
        <v>134795</v>
      </c>
      <c r="L7" s="516">
        <f>K7*0.75</f>
        <v>101096.25</v>
      </c>
      <c r="M7" s="256">
        <v>138838.85</v>
      </c>
      <c r="N7" s="256">
        <v>143004.01550000001</v>
      </c>
      <c r="O7" s="256">
        <v>147294.13596500002</v>
      </c>
      <c r="P7" s="256">
        <v>151712.96004395004</v>
      </c>
      <c r="Q7" s="211">
        <f t="shared" si="2"/>
        <v>157436</v>
      </c>
      <c r="R7" s="210">
        <f t="shared" si="0"/>
        <v>157436</v>
      </c>
      <c r="S7" s="207">
        <f t="shared" si="3"/>
        <v>39359</v>
      </c>
      <c r="T7" s="207">
        <f t="shared" si="1"/>
        <v>39359</v>
      </c>
      <c r="U7" s="207">
        <f t="shared" si="1"/>
        <v>39359</v>
      </c>
      <c r="V7" s="207">
        <f t="shared" si="1"/>
        <v>39359</v>
      </c>
    </row>
    <row r="8" spans="1:22" x14ac:dyDescent="0.3">
      <c r="A8" s="750"/>
      <c r="B8" s="205" t="s">
        <v>138</v>
      </c>
      <c r="C8" s="209">
        <v>11</v>
      </c>
      <c r="D8" s="208">
        <v>95238</v>
      </c>
      <c r="E8" s="206">
        <v>98095</v>
      </c>
      <c r="F8" s="206">
        <v>101038</v>
      </c>
      <c r="G8" s="206">
        <v>104068</v>
      </c>
      <c r="H8" s="206">
        <v>104068</v>
      </c>
      <c r="I8" s="206">
        <v>107191</v>
      </c>
      <c r="J8" s="209">
        <v>110402</v>
      </c>
      <c r="K8" s="208">
        <v>95236.999999999985</v>
      </c>
      <c r="L8" s="516">
        <f>K8*0.75</f>
        <v>71427.749999999985</v>
      </c>
      <c r="M8" s="256">
        <v>98094.109999999986</v>
      </c>
      <c r="N8" s="256">
        <v>101036.93329999999</v>
      </c>
      <c r="O8" s="256">
        <v>104068.04129899999</v>
      </c>
      <c r="P8" s="256">
        <v>107190.08253797</v>
      </c>
      <c r="Q8" s="211">
        <f t="shared" si="2"/>
        <v>107994</v>
      </c>
      <c r="R8" s="210">
        <f t="shared" si="0"/>
        <v>107994</v>
      </c>
      <c r="S8" s="207">
        <f t="shared" si="3"/>
        <v>26998.5</v>
      </c>
      <c r="T8" s="207">
        <f t="shared" si="1"/>
        <v>26998.5</v>
      </c>
      <c r="U8" s="207">
        <f t="shared" si="1"/>
        <v>26998.5</v>
      </c>
      <c r="V8" s="207">
        <f t="shared" si="1"/>
        <v>26998.5</v>
      </c>
    </row>
    <row r="9" spans="1:22" x14ac:dyDescent="0.3">
      <c r="A9" s="750"/>
      <c r="B9" s="205" t="s">
        <v>139</v>
      </c>
      <c r="C9" s="209">
        <v>17</v>
      </c>
      <c r="D9" s="208">
        <v>259634</v>
      </c>
      <c r="E9" s="206">
        <v>267423</v>
      </c>
      <c r="F9" s="206">
        <v>275443</v>
      </c>
      <c r="G9" s="206">
        <v>283707</v>
      </c>
      <c r="H9" s="206">
        <v>292220</v>
      </c>
      <c r="I9" s="206">
        <v>300984</v>
      </c>
      <c r="J9" s="209">
        <v>310004</v>
      </c>
      <c r="K9" s="208">
        <v>259633</v>
      </c>
      <c r="L9" s="491">
        <f>K9</f>
        <v>259633</v>
      </c>
      <c r="M9" s="256">
        <v>267421.99</v>
      </c>
      <c r="N9" s="256">
        <v>275444.64970000001</v>
      </c>
      <c r="O9" s="256">
        <v>283707.989191</v>
      </c>
      <c r="P9" s="256">
        <v>292219.22886673</v>
      </c>
      <c r="Q9" s="211">
        <f t="shared" si="2"/>
        <v>303239</v>
      </c>
      <c r="R9" s="210">
        <f t="shared" si="0"/>
        <v>303239</v>
      </c>
      <c r="S9" s="207">
        <f t="shared" si="3"/>
        <v>75809.75</v>
      </c>
      <c r="T9" s="207">
        <f t="shared" si="1"/>
        <v>75809.75</v>
      </c>
      <c r="U9" s="207">
        <f t="shared" si="1"/>
        <v>75809.75</v>
      </c>
      <c r="V9" s="207">
        <f t="shared" si="1"/>
        <v>75809.75</v>
      </c>
    </row>
    <row r="10" spans="1:22" x14ac:dyDescent="0.3">
      <c r="A10" s="750"/>
      <c r="B10" s="205" t="s">
        <v>140</v>
      </c>
      <c r="C10" s="209">
        <v>11</v>
      </c>
      <c r="D10" s="208">
        <v>108981</v>
      </c>
      <c r="E10" s="206">
        <v>112252</v>
      </c>
      <c r="F10" s="206">
        <v>115619</v>
      </c>
      <c r="G10" s="206">
        <v>119090</v>
      </c>
      <c r="H10" s="206">
        <v>119090</v>
      </c>
      <c r="I10" s="206">
        <v>122664</v>
      </c>
      <c r="J10" s="209">
        <v>126340</v>
      </c>
      <c r="K10" s="208">
        <v>108983</v>
      </c>
      <c r="L10" s="516">
        <f>K10*0.75</f>
        <v>81737.25</v>
      </c>
      <c r="M10" s="256">
        <v>112252.49</v>
      </c>
      <c r="N10" s="256">
        <v>115620.0647</v>
      </c>
      <c r="O10" s="256">
        <v>119088.666641</v>
      </c>
      <c r="P10" s="256">
        <v>122661.32664023001</v>
      </c>
      <c r="Q10" s="211">
        <f t="shared" si="2"/>
        <v>123583</v>
      </c>
      <c r="R10" s="210">
        <f t="shared" si="0"/>
        <v>123583</v>
      </c>
      <c r="S10" s="207">
        <f t="shared" si="3"/>
        <v>30895.75</v>
      </c>
      <c r="T10" s="207">
        <f t="shared" si="1"/>
        <v>30895.75</v>
      </c>
      <c r="U10" s="207">
        <f t="shared" si="1"/>
        <v>30895.75</v>
      </c>
      <c r="V10" s="207">
        <f t="shared" si="1"/>
        <v>30895.75</v>
      </c>
    </row>
    <row r="11" spans="1:22" x14ac:dyDescent="0.3">
      <c r="A11" s="750"/>
      <c r="B11" s="205" t="s">
        <v>141</v>
      </c>
      <c r="C11" s="209">
        <v>15</v>
      </c>
      <c r="D11" s="208">
        <v>126822</v>
      </c>
      <c r="E11" s="206">
        <v>130624</v>
      </c>
      <c r="F11" s="206">
        <v>134542</v>
      </c>
      <c r="G11" s="206">
        <v>138576</v>
      </c>
      <c r="H11" s="206">
        <v>142733</v>
      </c>
      <c r="I11" s="206">
        <v>147014</v>
      </c>
      <c r="J11" s="209">
        <v>151418</v>
      </c>
      <c r="K11" s="208">
        <v>126818</v>
      </c>
      <c r="L11" s="491">
        <f>K11</f>
        <v>126818</v>
      </c>
      <c r="M11" s="256">
        <v>130622.54000000001</v>
      </c>
      <c r="N11" s="256">
        <v>134541.21620000002</v>
      </c>
      <c r="O11" s="256">
        <v>138577.45268600003</v>
      </c>
      <c r="P11" s="256">
        <v>142734.77626658004</v>
      </c>
      <c r="Q11" s="211">
        <f t="shared" si="2"/>
        <v>148115</v>
      </c>
      <c r="R11" s="210">
        <f t="shared" si="0"/>
        <v>148115</v>
      </c>
      <c r="S11" s="207">
        <f t="shared" si="3"/>
        <v>37028.75</v>
      </c>
      <c r="T11" s="207">
        <f t="shared" si="1"/>
        <v>37028.75</v>
      </c>
      <c r="U11" s="207">
        <f t="shared" si="1"/>
        <v>37028.75</v>
      </c>
      <c r="V11" s="207">
        <f t="shared" si="1"/>
        <v>37028.75</v>
      </c>
    </row>
    <row r="12" spans="1:22" x14ac:dyDescent="0.3">
      <c r="A12" s="750"/>
      <c r="B12" s="205" t="s">
        <v>142</v>
      </c>
      <c r="C12" s="209">
        <v>8</v>
      </c>
      <c r="D12" s="208">
        <v>98669</v>
      </c>
      <c r="E12" s="206">
        <v>101628</v>
      </c>
      <c r="F12" s="206">
        <v>104676</v>
      </c>
      <c r="G12" s="206">
        <v>107817</v>
      </c>
      <c r="H12" s="206">
        <v>111051</v>
      </c>
      <c r="I12" s="206">
        <v>114383</v>
      </c>
      <c r="J12" s="209">
        <v>117810</v>
      </c>
      <c r="K12" s="208">
        <v>98668</v>
      </c>
      <c r="L12" s="516">
        <f>K12*0.75</f>
        <v>74001</v>
      </c>
      <c r="M12" s="256">
        <v>101628.04000000001</v>
      </c>
      <c r="N12" s="256">
        <v>104676.88120000002</v>
      </c>
      <c r="O12" s="256">
        <v>107817.18763600002</v>
      </c>
      <c r="P12" s="256">
        <v>111051.70326508002</v>
      </c>
      <c r="Q12" s="211">
        <f t="shared" si="2"/>
        <v>115240</v>
      </c>
      <c r="R12" s="210">
        <f t="shared" si="0"/>
        <v>115240</v>
      </c>
      <c r="S12" s="207">
        <f t="shared" si="3"/>
        <v>28810</v>
      </c>
      <c r="T12" s="207">
        <f t="shared" si="1"/>
        <v>28810</v>
      </c>
      <c r="U12" s="207">
        <f t="shared" si="1"/>
        <v>28810</v>
      </c>
      <c r="V12" s="207">
        <f t="shared" si="1"/>
        <v>28810</v>
      </c>
    </row>
    <row r="13" spans="1:22" ht="15" thickBot="1" x14ac:dyDescent="0.35">
      <c r="A13" s="752"/>
      <c r="B13" s="229" t="s">
        <v>143</v>
      </c>
      <c r="C13" s="230">
        <v>12</v>
      </c>
      <c r="D13" s="231">
        <v>114394</v>
      </c>
      <c r="E13" s="232">
        <v>117826</v>
      </c>
      <c r="F13" s="232">
        <v>121359</v>
      </c>
      <c r="G13" s="232">
        <v>124997</v>
      </c>
      <c r="H13" s="232">
        <v>128746</v>
      </c>
      <c r="I13" s="232">
        <v>132611</v>
      </c>
      <c r="J13" s="230">
        <v>136583</v>
      </c>
      <c r="K13" s="231">
        <v>114392</v>
      </c>
      <c r="L13" s="516">
        <f>K13*0.75</f>
        <v>85794</v>
      </c>
      <c r="M13" s="487">
        <v>117823.76000000001</v>
      </c>
      <c r="N13" s="487">
        <v>121358.47280000002</v>
      </c>
      <c r="O13" s="487">
        <v>124999.22698400002</v>
      </c>
      <c r="P13" s="487">
        <v>128749.20379352002</v>
      </c>
      <c r="Q13" s="233">
        <f t="shared" si="2"/>
        <v>133604</v>
      </c>
      <c r="R13" s="234">
        <f t="shared" si="0"/>
        <v>133604</v>
      </c>
      <c r="S13" s="235">
        <f t="shared" si="3"/>
        <v>33401</v>
      </c>
      <c r="T13" s="235">
        <f t="shared" si="1"/>
        <v>33401</v>
      </c>
      <c r="U13" s="235">
        <f t="shared" si="1"/>
        <v>33401</v>
      </c>
      <c r="V13" s="235">
        <f t="shared" si="1"/>
        <v>33401</v>
      </c>
    </row>
    <row r="14" spans="1:22" x14ac:dyDescent="0.3">
      <c r="A14" s="749" t="s">
        <v>128</v>
      </c>
      <c r="B14" s="215" t="s">
        <v>144</v>
      </c>
      <c r="C14" s="217">
        <v>18</v>
      </c>
      <c r="D14" s="218">
        <v>149098</v>
      </c>
      <c r="E14" s="216">
        <v>153570</v>
      </c>
      <c r="F14" s="216">
        <v>158178</v>
      </c>
      <c r="G14" s="216">
        <v>162924</v>
      </c>
      <c r="H14" s="216">
        <v>167810</v>
      </c>
      <c r="I14" s="216">
        <v>172844</v>
      </c>
      <c r="J14" s="217">
        <v>178021</v>
      </c>
      <c r="K14" s="218">
        <v>149099</v>
      </c>
      <c r="L14" s="516">
        <f t="shared" ref="L14:L30" si="4">K14*0.75</f>
        <v>111824.25</v>
      </c>
      <c r="M14" s="486">
        <v>153571.97</v>
      </c>
      <c r="N14" s="486">
        <v>158179.12909999999</v>
      </c>
      <c r="O14" s="486">
        <v>162924.502973</v>
      </c>
      <c r="P14" s="486">
        <v>167812.23806219001</v>
      </c>
      <c r="Q14" s="219">
        <f t="shared" si="2"/>
        <v>174138</v>
      </c>
      <c r="R14" s="220">
        <f t="shared" si="0"/>
        <v>174138</v>
      </c>
      <c r="S14" s="207">
        <f t="shared" si="3"/>
        <v>43534.5</v>
      </c>
      <c r="T14" s="207">
        <f t="shared" si="1"/>
        <v>43534.5</v>
      </c>
      <c r="U14" s="207">
        <f t="shared" si="1"/>
        <v>43534.5</v>
      </c>
      <c r="V14" s="207">
        <f t="shared" si="1"/>
        <v>43534.5</v>
      </c>
    </row>
    <row r="15" spans="1:22" x14ac:dyDescent="0.3">
      <c r="A15" s="750"/>
      <c r="B15" s="205" t="s">
        <v>145</v>
      </c>
      <c r="C15" s="209">
        <v>18</v>
      </c>
      <c r="D15" s="208">
        <v>162199</v>
      </c>
      <c r="E15" s="206">
        <v>167066</v>
      </c>
      <c r="F15" s="206">
        <v>172076</v>
      </c>
      <c r="G15" s="206">
        <v>177241</v>
      </c>
      <c r="H15" s="206">
        <v>177238</v>
      </c>
      <c r="I15" s="206">
        <v>182556</v>
      </c>
      <c r="J15" s="209">
        <v>188024</v>
      </c>
      <c r="K15" s="208">
        <v>162199</v>
      </c>
      <c r="L15" s="516">
        <f t="shared" si="4"/>
        <v>121649.25</v>
      </c>
      <c r="M15" s="256">
        <v>167064.97</v>
      </c>
      <c r="N15" s="256">
        <v>172076.9191</v>
      </c>
      <c r="O15" s="256">
        <v>177239.226673</v>
      </c>
      <c r="P15" s="256">
        <v>182556.40347319</v>
      </c>
      <c r="Q15" s="211">
        <f t="shared" si="2"/>
        <v>183923</v>
      </c>
      <c r="R15" s="210">
        <f t="shared" si="0"/>
        <v>183923</v>
      </c>
      <c r="S15" s="207">
        <f t="shared" si="3"/>
        <v>45980.75</v>
      </c>
      <c r="T15" s="207">
        <f t="shared" si="1"/>
        <v>45980.75</v>
      </c>
      <c r="U15" s="207">
        <f t="shared" si="1"/>
        <v>45980.75</v>
      </c>
      <c r="V15" s="207">
        <f t="shared" si="1"/>
        <v>45980.75</v>
      </c>
    </row>
    <row r="16" spans="1:22" x14ac:dyDescent="0.3">
      <c r="A16" s="750"/>
      <c r="B16" s="205" t="s">
        <v>146</v>
      </c>
      <c r="C16" s="209">
        <v>19</v>
      </c>
      <c r="D16" s="208">
        <v>180485</v>
      </c>
      <c r="E16" s="206">
        <v>185901</v>
      </c>
      <c r="F16" s="206">
        <v>191480</v>
      </c>
      <c r="G16" s="206">
        <v>197223</v>
      </c>
      <c r="H16" s="206">
        <v>203141</v>
      </c>
      <c r="I16" s="206">
        <v>209235</v>
      </c>
      <c r="J16" s="209">
        <v>215502</v>
      </c>
      <c r="K16" s="208">
        <v>180487</v>
      </c>
      <c r="L16" s="516">
        <f t="shared" si="4"/>
        <v>135365.25</v>
      </c>
      <c r="M16" s="256">
        <v>185901.61000000002</v>
      </c>
      <c r="N16" s="256">
        <v>191478.65830000001</v>
      </c>
      <c r="O16" s="256">
        <v>197223.01804900001</v>
      </c>
      <c r="P16" s="256">
        <v>203139.70859047002</v>
      </c>
      <c r="Q16" s="211">
        <f t="shared" si="2"/>
        <v>210802</v>
      </c>
      <c r="R16" s="210">
        <f t="shared" si="0"/>
        <v>210802</v>
      </c>
      <c r="S16" s="207">
        <f t="shared" si="3"/>
        <v>52700.5</v>
      </c>
      <c r="T16" s="207">
        <f t="shared" si="1"/>
        <v>52700.5</v>
      </c>
      <c r="U16" s="207">
        <f t="shared" si="1"/>
        <v>52700.5</v>
      </c>
      <c r="V16" s="207">
        <f t="shared" si="1"/>
        <v>52700.5</v>
      </c>
    </row>
    <row r="17" spans="1:22" x14ac:dyDescent="0.3">
      <c r="A17" s="750"/>
      <c r="B17" s="205" t="s">
        <v>147</v>
      </c>
      <c r="C17" s="209">
        <v>24</v>
      </c>
      <c r="D17" s="208">
        <v>155077</v>
      </c>
      <c r="E17" s="206">
        <v>159730</v>
      </c>
      <c r="F17" s="206">
        <v>164522</v>
      </c>
      <c r="G17" s="206">
        <v>169459</v>
      </c>
      <c r="H17" s="206">
        <v>167651</v>
      </c>
      <c r="I17" s="206">
        <v>172680</v>
      </c>
      <c r="J17" s="209">
        <v>177847</v>
      </c>
      <c r="K17" s="208">
        <v>155077</v>
      </c>
      <c r="L17" s="516">
        <f t="shared" si="4"/>
        <v>116307.75</v>
      </c>
      <c r="M17" s="256">
        <v>159729.31</v>
      </c>
      <c r="N17" s="256">
        <v>164521.1893</v>
      </c>
      <c r="O17" s="256">
        <v>169456.824979</v>
      </c>
      <c r="P17" s="256">
        <v>174540.52972836999</v>
      </c>
      <c r="Q17" s="211">
        <f t="shared" si="2"/>
        <v>173972</v>
      </c>
      <c r="R17" s="210">
        <f t="shared" si="0"/>
        <v>173972</v>
      </c>
      <c r="S17" s="207">
        <f t="shared" si="3"/>
        <v>43493</v>
      </c>
      <c r="T17" s="207">
        <f t="shared" si="1"/>
        <v>43493</v>
      </c>
      <c r="U17" s="207">
        <f t="shared" si="1"/>
        <v>43493</v>
      </c>
      <c r="V17" s="207">
        <f t="shared" si="1"/>
        <v>43493</v>
      </c>
    </row>
    <row r="18" spans="1:22" x14ac:dyDescent="0.3">
      <c r="A18" s="750"/>
      <c r="B18" s="205" t="s">
        <v>148</v>
      </c>
      <c r="C18" s="209">
        <v>28</v>
      </c>
      <c r="D18" s="208">
        <v>389971</v>
      </c>
      <c r="E18" s="206">
        <v>401669</v>
      </c>
      <c r="F18" s="206">
        <v>413716</v>
      </c>
      <c r="G18" s="206">
        <v>426128</v>
      </c>
      <c r="H18" s="206">
        <v>426129</v>
      </c>
      <c r="I18" s="206">
        <v>438915</v>
      </c>
      <c r="J18" s="209">
        <v>452067</v>
      </c>
      <c r="K18" s="208">
        <v>389968</v>
      </c>
      <c r="L18" s="516">
        <f t="shared" si="4"/>
        <v>292476</v>
      </c>
      <c r="M18" s="256">
        <v>401667.04000000004</v>
      </c>
      <c r="N18" s="256">
        <v>413717.05120000005</v>
      </c>
      <c r="O18" s="256">
        <v>426128.56273600005</v>
      </c>
      <c r="P18" s="256">
        <v>438912.41961808008</v>
      </c>
      <c r="Q18" s="211">
        <f t="shared" si="2"/>
        <v>442203</v>
      </c>
      <c r="R18" s="210">
        <f t="shared" si="0"/>
        <v>442203</v>
      </c>
      <c r="S18" s="207">
        <f t="shared" si="3"/>
        <v>110550.75</v>
      </c>
      <c r="T18" s="207">
        <f t="shared" si="1"/>
        <v>110550.75</v>
      </c>
      <c r="U18" s="207">
        <f t="shared" si="1"/>
        <v>110550.75</v>
      </c>
      <c r="V18" s="207">
        <f t="shared" si="1"/>
        <v>110550.75</v>
      </c>
    </row>
    <row r="19" spans="1:22" x14ac:dyDescent="0.3">
      <c r="A19" s="750"/>
      <c r="B19" s="205" t="s">
        <v>149</v>
      </c>
      <c r="C19" s="209">
        <v>25</v>
      </c>
      <c r="D19" s="208">
        <v>370496</v>
      </c>
      <c r="E19" s="206">
        <v>381612</v>
      </c>
      <c r="F19" s="206">
        <v>393059</v>
      </c>
      <c r="G19" s="206">
        <v>404853</v>
      </c>
      <c r="H19" s="206">
        <v>404852</v>
      </c>
      <c r="I19" s="206">
        <v>416997</v>
      </c>
      <c r="J19" s="209">
        <v>429492</v>
      </c>
      <c r="K19" s="208">
        <v>370497</v>
      </c>
      <c r="L19" s="516">
        <f t="shared" si="4"/>
        <v>277872.75</v>
      </c>
      <c r="M19" s="256">
        <v>381611.91000000003</v>
      </c>
      <c r="N19" s="256">
        <v>393060.26730000007</v>
      </c>
      <c r="O19" s="256">
        <v>404852.07531900005</v>
      </c>
      <c r="P19" s="256">
        <v>416997.63757857005</v>
      </c>
      <c r="Q19" s="211">
        <f t="shared" si="2"/>
        <v>420121</v>
      </c>
      <c r="R19" s="210">
        <f t="shared" si="0"/>
        <v>420121</v>
      </c>
      <c r="S19" s="207">
        <f t="shared" si="3"/>
        <v>105030.25</v>
      </c>
      <c r="T19" s="207">
        <f t="shared" si="3"/>
        <v>105030.25</v>
      </c>
      <c r="U19" s="207">
        <f t="shared" si="3"/>
        <v>105030.25</v>
      </c>
      <c r="V19" s="207">
        <f t="shared" si="3"/>
        <v>105030.25</v>
      </c>
    </row>
    <row r="20" spans="1:22" x14ac:dyDescent="0.3">
      <c r="A20" s="750"/>
      <c r="B20" s="205" t="s">
        <v>150</v>
      </c>
      <c r="C20" s="209">
        <v>28</v>
      </c>
      <c r="D20" s="208">
        <v>404676</v>
      </c>
      <c r="E20" s="206">
        <v>416818</v>
      </c>
      <c r="F20" s="206">
        <v>429322</v>
      </c>
      <c r="G20" s="206">
        <v>442204</v>
      </c>
      <c r="H20" s="206">
        <v>455470</v>
      </c>
      <c r="I20" s="206">
        <v>481776</v>
      </c>
      <c r="J20" s="209">
        <v>496217</v>
      </c>
      <c r="K20" s="208">
        <v>415584</v>
      </c>
      <c r="L20" s="516">
        <f t="shared" si="4"/>
        <v>311688</v>
      </c>
      <c r="M20" s="256">
        <v>428051.52</v>
      </c>
      <c r="N20" s="256">
        <v>440893.06560000003</v>
      </c>
      <c r="O20" s="256">
        <v>454119.85756800004</v>
      </c>
      <c r="P20" s="256">
        <v>467743.45329504006</v>
      </c>
      <c r="Q20" s="211">
        <f t="shared" si="2"/>
        <v>485386</v>
      </c>
      <c r="R20" s="210">
        <f t="shared" si="0"/>
        <v>485386</v>
      </c>
      <c r="S20" s="207">
        <f t="shared" si="3"/>
        <v>121346.5</v>
      </c>
      <c r="T20" s="207">
        <f t="shared" si="3"/>
        <v>121346.5</v>
      </c>
      <c r="U20" s="207">
        <f t="shared" si="3"/>
        <v>121346.5</v>
      </c>
      <c r="V20" s="207">
        <f t="shared" si="3"/>
        <v>121346.5</v>
      </c>
    </row>
    <row r="21" spans="1:22" x14ac:dyDescent="0.3">
      <c r="A21" s="750"/>
      <c r="B21" s="205" t="s">
        <v>151</v>
      </c>
      <c r="C21" s="209">
        <v>17</v>
      </c>
      <c r="D21" s="208">
        <v>230406</v>
      </c>
      <c r="E21" s="206">
        <v>237318</v>
      </c>
      <c r="F21" s="206">
        <v>244440</v>
      </c>
      <c r="G21" s="206">
        <v>251774</v>
      </c>
      <c r="H21" s="206">
        <v>259326</v>
      </c>
      <c r="I21" s="206">
        <v>267105</v>
      </c>
      <c r="J21" s="209">
        <v>275109</v>
      </c>
      <c r="K21" s="208">
        <v>230409</v>
      </c>
      <c r="L21" s="516">
        <f t="shared" si="4"/>
        <v>172806.75</v>
      </c>
      <c r="M21" s="256">
        <v>237321.27000000002</v>
      </c>
      <c r="N21" s="256">
        <v>244440.90810000003</v>
      </c>
      <c r="O21" s="256">
        <v>251774.13534300003</v>
      </c>
      <c r="P21" s="256">
        <v>259327.35940329003</v>
      </c>
      <c r="Q21" s="211">
        <f t="shared" si="2"/>
        <v>269106</v>
      </c>
      <c r="R21" s="210">
        <f t="shared" si="0"/>
        <v>269106</v>
      </c>
      <c r="S21" s="207">
        <f t="shared" si="3"/>
        <v>67276.5</v>
      </c>
      <c r="T21" s="207">
        <f t="shared" si="3"/>
        <v>67276.5</v>
      </c>
      <c r="U21" s="207">
        <f t="shared" si="3"/>
        <v>67276.5</v>
      </c>
      <c r="V21" s="207">
        <f t="shared" si="3"/>
        <v>67276.5</v>
      </c>
    </row>
    <row r="22" spans="1:22" x14ac:dyDescent="0.3">
      <c r="A22" s="750"/>
      <c r="B22" s="205" t="s">
        <v>152</v>
      </c>
      <c r="C22" s="209">
        <v>28</v>
      </c>
      <c r="D22" s="208">
        <v>232347</v>
      </c>
      <c r="E22" s="206">
        <v>239320</v>
      </c>
      <c r="F22" s="206">
        <v>246499</v>
      </c>
      <c r="G22" s="206">
        <v>253896</v>
      </c>
      <c r="H22" s="206">
        <v>261513</v>
      </c>
      <c r="I22" s="206">
        <v>269359</v>
      </c>
      <c r="J22" s="209">
        <v>277427</v>
      </c>
      <c r="K22" s="208">
        <v>232350</v>
      </c>
      <c r="L22" s="516">
        <f t="shared" si="4"/>
        <v>174262.5</v>
      </c>
      <c r="M22" s="256">
        <v>239320.5</v>
      </c>
      <c r="N22" s="256">
        <v>246500.11500000002</v>
      </c>
      <c r="O22" s="256">
        <v>253895.11845000004</v>
      </c>
      <c r="P22" s="256">
        <v>261511.97200350004</v>
      </c>
      <c r="Q22" s="211">
        <f t="shared" si="2"/>
        <v>271376</v>
      </c>
      <c r="R22" s="210">
        <f t="shared" si="0"/>
        <v>271376</v>
      </c>
      <c r="S22" s="207">
        <f t="shared" si="3"/>
        <v>67844</v>
      </c>
      <c r="T22" s="207">
        <f t="shared" si="3"/>
        <v>67844</v>
      </c>
      <c r="U22" s="207">
        <f t="shared" si="3"/>
        <v>67844</v>
      </c>
      <c r="V22" s="207">
        <f t="shared" si="3"/>
        <v>67844</v>
      </c>
    </row>
    <row r="23" spans="1:22" x14ac:dyDescent="0.3">
      <c r="A23" s="750"/>
      <c r="B23" s="205" t="s">
        <v>153</v>
      </c>
      <c r="C23" s="209">
        <v>26</v>
      </c>
      <c r="D23" s="208">
        <v>231844</v>
      </c>
      <c r="E23" s="206">
        <v>238798</v>
      </c>
      <c r="F23" s="206">
        <v>245962</v>
      </c>
      <c r="G23" s="206">
        <v>253341</v>
      </c>
      <c r="H23" s="206">
        <v>260939</v>
      </c>
      <c r="I23" s="206">
        <v>268767</v>
      </c>
      <c r="J23" s="209">
        <v>276817</v>
      </c>
      <c r="K23" s="208">
        <v>231842</v>
      </c>
      <c r="L23" s="516">
        <f t="shared" si="4"/>
        <v>173881.5</v>
      </c>
      <c r="M23" s="256">
        <v>238797.26</v>
      </c>
      <c r="N23" s="256">
        <v>245961.1778</v>
      </c>
      <c r="O23" s="256">
        <v>253340.01313400001</v>
      </c>
      <c r="P23" s="256">
        <v>260940.21352802002</v>
      </c>
      <c r="Q23" s="211">
        <f t="shared" si="2"/>
        <v>270780</v>
      </c>
      <c r="R23" s="210">
        <f t="shared" si="0"/>
        <v>270780</v>
      </c>
      <c r="S23" s="207">
        <f t="shared" si="3"/>
        <v>67695</v>
      </c>
      <c r="T23" s="207">
        <f t="shared" si="3"/>
        <v>67695</v>
      </c>
      <c r="U23" s="207">
        <f t="shared" si="3"/>
        <v>67695</v>
      </c>
      <c r="V23" s="207">
        <f t="shared" si="3"/>
        <v>67695</v>
      </c>
    </row>
    <row r="24" spans="1:22" x14ac:dyDescent="0.3">
      <c r="A24" s="750"/>
      <c r="B24" s="205" t="s">
        <v>154</v>
      </c>
      <c r="C24" s="209">
        <v>23</v>
      </c>
      <c r="D24" s="208">
        <v>178323</v>
      </c>
      <c r="E24" s="206">
        <v>183671</v>
      </c>
      <c r="F24" s="206">
        <v>189180</v>
      </c>
      <c r="G24" s="206">
        <v>194853</v>
      </c>
      <c r="H24" s="206">
        <v>200699</v>
      </c>
      <c r="I24" s="206">
        <v>206720</v>
      </c>
      <c r="J24" s="209">
        <v>212911</v>
      </c>
      <c r="K24" s="208">
        <v>178319</v>
      </c>
      <c r="L24" s="516">
        <f t="shared" si="4"/>
        <v>133739.25</v>
      </c>
      <c r="M24" s="256">
        <v>183668.57</v>
      </c>
      <c r="N24" s="256">
        <v>189178.62710000001</v>
      </c>
      <c r="O24" s="256">
        <v>194853.98591300001</v>
      </c>
      <c r="P24" s="256">
        <v>200699.60549039001</v>
      </c>
      <c r="Q24" s="211">
        <f t="shared" si="2"/>
        <v>208268</v>
      </c>
      <c r="R24" s="210">
        <f t="shared" si="0"/>
        <v>208268</v>
      </c>
      <c r="S24" s="207">
        <f t="shared" si="3"/>
        <v>52067</v>
      </c>
      <c r="T24" s="207">
        <f t="shared" si="3"/>
        <v>52067</v>
      </c>
      <c r="U24" s="207">
        <f t="shared" si="3"/>
        <v>52067</v>
      </c>
      <c r="V24" s="207">
        <f t="shared" si="3"/>
        <v>52067</v>
      </c>
    </row>
    <row r="25" spans="1:22" x14ac:dyDescent="0.3">
      <c r="A25" s="750"/>
      <c r="B25" s="205" t="s">
        <v>155</v>
      </c>
      <c r="C25" s="209">
        <v>24</v>
      </c>
      <c r="D25" s="208">
        <v>155689</v>
      </c>
      <c r="E25" s="206">
        <v>160359</v>
      </c>
      <c r="F25" s="206">
        <v>165172</v>
      </c>
      <c r="G25" s="206">
        <v>170123</v>
      </c>
      <c r="H25" s="206">
        <v>175227</v>
      </c>
      <c r="I25" s="206">
        <v>180484</v>
      </c>
      <c r="J25" s="209">
        <v>185883</v>
      </c>
      <c r="K25" s="208">
        <v>155687.99999999997</v>
      </c>
      <c r="L25" s="516">
        <f t="shared" si="4"/>
        <v>116765.99999999997</v>
      </c>
      <c r="M25" s="256">
        <v>160358.63999999998</v>
      </c>
      <c r="N25" s="256">
        <v>165169.39919999999</v>
      </c>
      <c r="O25" s="256">
        <v>170124.481176</v>
      </c>
      <c r="P25" s="256">
        <v>175228.21561128</v>
      </c>
      <c r="Q25" s="211">
        <f t="shared" si="2"/>
        <v>181834</v>
      </c>
      <c r="R25" s="210">
        <f t="shared" si="0"/>
        <v>181834</v>
      </c>
      <c r="S25" s="207">
        <f t="shared" si="3"/>
        <v>45458.5</v>
      </c>
      <c r="T25" s="207">
        <f t="shared" si="3"/>
        <v>45458.5</v>
      </c>
      <c r="U25" s="207">
        <f t="shared" si="3"/>
        <v>45458.5</v>
      </c>
      <c r="V25" s="207">
        <f t="shared" si="3"/>
        <v>45458.5</v>
      </c>
    </row>
    <row r="26" spans="1:22" x14ac:dyDescent="0.3">
      <c r="A26" s="750"/>
      <c r="B26" s="205" t="s">
        <v>156</v>
      </c>
      <c r="C26" s="209">
        <v>20</v>
      </c>
      <c r="D26" s="208">
        <v>262385</v>
      </c>
      <c r="E26" s="206">
        <v>270256</v>
      </c>
      <c r="F26" s="206">
        <v>278362</v>
      </c>
      <c r="G26" s="206">
        <v>286714</v>
      </c>
      <c r="H26" s="206">
        <v>295317</v>
      </c>
      <c r="I26" s="206">
        <v>304179</v>
      </c>
      <c r="J26" s="209">
        <v>313296</v>
      </c>
      <c r="K26" s="208">
        <v>262384</v>
      </c>
      <c r="L26" s="516">
        <f t="shared" si="4"/>
        <v>196788</v>
      </c>
      <c r="M26" s="256">
        <v>270255.52</v>
      </c>
      <c r="N26" s="256">
        <v>278363.18560000003</v>
      </c>
      <c r="O26" s="256">
        <v>286714.08116800006</v>
      </c>
      <c r="P26" s="256">
        <v>295315.50360304007</v>
      </c>
      <c r="Q26" s="211">
        <f t="shared" si="2"/>
        <v>306458</v>
      </c>
      <c r="R26" s="210">
        <f t="shared" si="0"/>
        <v>306458</v>
      </c>
      <c r="S26" s="207">
        <f t="shared" si="3"/>
        <v>76614.5</v>
      </c>
      <c r="T26" s="207">
        <f t="shared" si="3"/>
        <v>76614.5</v>
      </c>
      <c r="U26" s="207">
        <f t="shared" si="3"/>
        <v>76614.5</v>
      </c>
      <c r="V26" s="207">
        <f t="shared" si="3"/>
        <v>76614.5</v>
      </c>
    </row>
    <row r="27" spans="1:22" x14ac:dyDescent="0.3">
      <c r="A27" s="750"/>
      <c r="B27" s="205" t="s">
        <v>157</v>
      </c>
      <c r="C27" s="209">
        <v>24</v>
      </c>
      <c r="D27" s="208">
        <v>204858</v>
      </c>
      <c r="E27" s="206">
        <v>211006</v>
      </c>
      <c r="F27" s="206">
        <v>217337</v>
      </c>
      <c r="G27" s="206">
        <v>223858</v>
      </c>
      <c r="H27" s="206">
        <v>230574</v>
      </c>
      <c r="I27" s="206">
        <v>237489</v>
      </c>
      <c r="J27" s="209">
        <v>244603</v>
      </c>
      <c r="K27" s="208">
        <v>193147</v>
      </c>
      <c r="L27" s="516">
        <f t="shared" si="4"/>
        <v>144860.25</v>
      </c>
      <c r="M27" s="256">
        <v>198941.41</v>
      </c>
      <c r="N27" s="256">
        <v>204909.65230000002</v>
      </c>
      <c r="O27" s="256">
        <v>211056.94186900003</v>
      </c>
      <c r="P27" s="256">
        <v>217388.65012507004</v>
      </c>
      <c r="Q27" s="211">
        <f t="shared" si="2"/>
        <v>239268</v>
      </c>
      <c r="R27" s="210">
        <f t="shared" si="0"/>
        <v>239268</v>
      </c>
      <c r="S27" s="207">
        <f t="shared" si="3"/>
        <v>59817</v>
      </c>
      <c r="T27" s="207">
        <f t="shared" si="3"/>
        <v>59817</v>
      </c>
      <c r="U27" s="207">
        <f t="shared" si="3"/>
        <v>59817</v>
      </c>
      <c r="V27" s="207">
        <f t="shared" si="3"/>
        <v>59817</v>
      </c>
    </row>
    <row r="28" spans="1:22" x14ac:dyDescent="0.3">
      <c r="A28" s="750"/>
      <c r="B28" s="205" t="s">
        <v>158</v>
      </c>
      <c r="C28" s="209">
        <v>18</v>
      </c>
      <c r="D28" s="208">
        <v>144703</v>
      </c>
      <c r="E28" s="206">
        <v>149045</v>
      </c>
      <c r="F28" s="206">
        <v>153514</v>
      </c>
      <c r="G28" s="206">
        <v>158120</v>
      </c>
      <c r="H28" s="206">
        <v>162864</v>
      </c>
      <c r="I28" s="206">
        <v>167749</v>
      </c>
      <c r="J28" s="209">
        <v>172769</v>
      </c>
      <c r="K28" s="208">
        <v>144704</v>
      </c>
      <c r="L28" s="516">
        <f t="shared" si="4"/>
        <v>108528</v>
      </c>
      <c r="M28" s="256">
        <v>149045.12</v>
      </c>
      <c r="N28" s="256">
        <v>153516.4736</v>
      </c>
      <c r="O28" s="256">
        <v>158121.96780800002</v>
      </c>
      <c r="P28" s="256">
        <v>162865.62684224002</v>
      </c>
      <c r="Q28" s="211">
        <f t="shared" si="2"/>
        <v>169004</v>
      </c>
      <c r="R28" s="210">
        <f t="shared" si="0"/>
        <v>169004</v>
      </c>
      <c r="S28" s="207">
        <f t="shared" si="3"/>
        <v>42251</v>
      </c>
      <c r="T28" s="207">
        <f t="shared" si="3"/>
        <v>42251</v>
      </c>
      <c r="U28" s="207">
        <f t="shared" si="3"/>
        <v>42251</v>
      </c>
      <c r="V28" s="207">
        <f t="shared" si="3"/>
        <v>42251</v>
      </c>
    </row>
    <row r="29" spans="1:22" x14ac:dyDescent="0.3">
      <c r="A29" s="750"/>
      <c r="B29" s="205" t="s">
        <v>159</v>
      </c>
      <c r="C29" s="209">
        <v>12</v>
      </c>
      <c r="D29" s="208">
        <v>118397</v>
      </c>
      <c r="E29" s="206">
        <v>121949</v>
      </c>
      <c r="F29" s="206">
        <v>125607</v>
      </c>
      <c r="G29" s="206">
        <v>129376</v>
      </c>
      <c r="H29" s="206">
        <v>133257</v>
      </c>
      <c r="I29" s="206">
        <v>137254</v>
      </c>
      <c r="J29" s="209">
        <v>141366</v>
      </c>
      <c r="K29" s="208">
        <v>118397</v>
      </c>
      <c r="L29" s="516">
        <f t="shared" si="4"/>
        <v>88797.75</v>
      </c>
      <c r="M29" s="256">
        <v>121948.91</v>
      </c>
      <c r="N29" s="256">
        <v>125607.37730000001</v>
      </c>
      <c r="O29" s="256">
        <v>129375.59861900001</v>
      </c>
      <c r="P29" s="256">
        <v>133256.86657757001</v>
      </c>
      <c r="Q29" s="211">
        <f t="shared" si="2"/>
        <v>138282</v>
      </c>
      <c r="R29" s="210">
        <f t="shared" si="0"/>
        <v>138282</v>
      </c>
      <c r="S29" s="207">
        <f t="shared" si="3"/>
        <v>34570.5</v>
      </c>
      <c r="T29" s="207">
        <f t="shared" si="3"/>
        <v>34570.5</v>
      </c>
      <c r="U29" s="207">
        <f t="shared" si="3"/>
        <v>34570.5</v>
      </c>
      <c r="V29" s="207">
        <f t="shared" si="3"/>
        <v>34570.5</v>
      </c>
    </row>
    <row r="30" spans="1:22" ht="15" thickBot="1" x14ac:dyDescent="0.35">
      <c r="A30" s="752"/>
      <c r="B30" s="229" t="s">
        <v>160</v>
      </c>
      <c r="C30" s="230">
        <v>23</v>
      </c>
      <c r="D30" s="231">
        <v>348804</v>
      </c>
      <c r="E30" s="232">
        <v>359267</v>
      </c>
      <c r="F30" s="232">
        <v>370043</v>
      </c>
      <c r="G30" s="232">
        <v>381148</v>
      </c>
      <c r="H30" s="232">
        <v>392581</v>
      </c>
      <c r="I30" s="232">
        <v>404361</v>
      </c>
      <c r="J30" s="230">
        <v>416482</v>
      </c>
      <c r="K30" s="231">
        <v>348805</v>
      </c>
      <c r="L30" s="516">
        <f t="shared" si="4"/>
        <v>261603.75</v>
      </c>
      <c r="M30" s="487">
        <v>359269.15</v>
      </c>
      <c r="N30" s="487">
        <v>370047.22450000001</v>
      </c>
      <c r="O30" s="487">
        <v>381148.64123500005</v>
      </c>
      <c r="P30" s="487">
        <v>392583.10047205008</v>
      </c>
      <c r="Q30" s="233">
        <f t="shared" si="2"/>
        <v>407391</v>
      </c>
      <c r="R30" s="234">
        <f t="shared" si="0"/>
        <v>407391</v>
      </c>
      <c r="S30" s="235">
        <f t="shared" si="3"/>
        <v>101847.75</v>
      </c>
      <c r="T30" s="235">
        <f t="shared" si="3"/>
        <v>101847.75</v>
      </c>
      <c r="U30" s="235">
        <f t="shared" si="3"/>
        <v>101847.75</v>
      </c>
      <c r="V30" s="235">
        <f t="shared" si="3"/>
        <v>101847.75</v>
      </c>
    </row>
    <row r="31" spans="1:22" x14ac:dyDescent="0.3">
      <c r="A31" s="749" t="s">
        <v>129</v>
      </c>
      <c r="B31" s="215" t="s">
        <v>161</v>
      </c>
      <c r="C31" s="217">
        <v>8</v>
      </c>
      <c r="D31" s="218">
        <v>75192</v>
      </c>
      <c r="E31" s="216">
        <v>77449</v>
      </c>
      <c r="F31" s="216">
        <v>79773</v>
      </c>
      <c r="G31" s="216">
        <v>82166</v>
      </c>
      <c r="H31" s="216">
        <v>84630</v>
      </c>
      <c r="I31" s="216">
        <v>87169</v>
      </c>
      <c r="J31" s="217">
        <v>89781</v>
      </c>
      <c r="K31" s="218">
        <v>75194</v>
      </c>
      <c r="L31" s="218">
        <f>K31</f>
        <v>75194</v>
      </c>
      <c r="M31" s="486">
        <v>77449.820000000007</v>
      </c>
      <c r="N31" s="486">
        <v>79773.314600000012</v>
      </c>
      <c r="O31" s="486">
        <v>82166.514038000008</v>
      </c>
      <c r="P31" s="486">
        <v>84631.509459140012</v>
      </c>
      <c r="Q31" s="219">
        <f t="shared" si="2"/>
        <v>87822</v>
      </c>
      <c r="R31" s="220">
        <f t="shared" si="0"/>
        <v>87822</v>
      </c>
      <c r="S31" s="207">
        <f t="shared" si="3"/>
        <v>21955.5</v>
      </c>
      <c r="T31" s="207">
        <f t="shared" si="3"/>
        <v>21955.5</v>
      </c>
      <c r="U31" s="207">
        <f t="shared" si="3"/>
        <v>21955.5</v>
      </c>
      <c r="V31" s="207">
        <f t="shared" si="3"/>
        <v>21955.5</v>
      </c>
    </row>
    <row r="32" spans="1:22" x14ac:dyDescent="0.3">
      <c r="A32" s="750"/>
      <c r="B32" s="205" t="s">
        <v>162</v>
      </c>
      <c r="C32" s="209">
        <v>10</v>
      </c>
      <c r="D32" s="208">
        <v>67501</v>
      </c>
      <c r="E32" s="206">
        <v>69526</v>
      </c>
      <c r="F32" s="206">
        <v>71611</v>
      </c>
      <c r="G32" s="206">
        <v>73760</v>
      </c>
      <c r="H32" s="206">
        <v>75974</v>
      </c>
      <c r="I32" s="206">
        <v>78251</v>
      </c>
      <c r="J32" s="209">
        <v>80595</v>
      </c>
      <c r="K32" s="208">
        <v>67500</v>
      </c>
      <c r="L32" s="491">
        <f>K32</f>
        <v>67500</v>
      </c>
      <c r="M32" s="256">
        <v>69525</v>
      </c>
      <c r="N32" s="256">
        <v>71610.75</v>
      </c>
      <c r="O32" s="256">
        <v>73759.072499999995</v>
      </c>
      <c r="P32" s="256">
        <v>75971.844675</v>
      </c>
      <c r="Q32" s="211">
        <f t="shared" si="2"/>
        <v>78837</v>
      </c>
      <c r="R32" s="210">
        <f t="shared" si="0"/>
        <v>78837</v>
      </c>
      <c r="S32" s="207">
        <f t="shared" si="3"/>
        <v>19709.25</v>
      </c>
      <c r="T32" s="207">
        <f t="shared" si="3"/>
        <v>19709.25</v>
      </c>
      <c r="U32" s="207">
        <f t="shared" si="3"/>
        <v>19709.25</v>
      </c>
      <c r="V32" s="207">
        <f t="shared" si="3"/>
        <v>19709.25</v>
      </c>
    </row>
    <row r="33" spans="1:22" x14ac:dyDescent="0.3">
      <c r="A33" s="750"/>
      <c r="B33" s="205" t="s">
        <v>163</v>
      </c>
      <c r="C33" s="209">
        <v>18</v>
      </c>
      <c r="D33" s="208">
        <v>134281</v>
      </c>
      <c r="E33" s="206">
        <v>138309</v>
      </c>
      <c r="F33" s="206">
        <v>142456</v>
      </c>
      <c r="G33" s="206">
        <v>146733</v>
      </c>
      <c r="H33" s="206">
        <v>151136</v>
      </c>
      <c r="I33" s="206">
        <v>155672</v>
      </c>
      <c r="J33" s="209">
        <v>160335</v>
      </c>
      <c r="K33" s="208">
        <v>134280</v>
      </c>
      <c r="L33" s="491">
        <f t="shared" ref="L33:L38" si="5">K33</f>
        <v>134280</v>
      </c>
      <c r="M33" s="256">
        <v>138308.4</v>
      </c>
      <c r="N33" s="256">
        <v>142457.652</v>
      </c>
      <c r="O33" s="256">
        <v>146731.38156000001</v>
      </c>
      <c r="P33" s="256">
        <v>151133.32300680003</v>
      </c>
      <c r="Q33" s="211">
        <f t="shared" si="2"/>
        <v>156838</v>
      </c>
      <c r="R33" s="210">
        <f t="shared" si="0"/>
        <v>156838</v>
      </c>
      <c r="S33" s="207">
        <f t="shared" si="3"/>
        <v>39209.5</v>
      </c>
      <c r="T33" s="207">
        <f t="shared" si="3"/>
        <v>39209.5</v>
      </c>
      <c r="U33" s="207">
        <f t="shared" si="3"/>
        <v>39209.5</v>
      </c>
      <c r="V33" s="207">
        <f t="shared" si="3"/>
        <v>39209.5</v>
      </c>
    </row>
    <row r="34" spans="1:22" x14ac:dyDescent="0.3">
      <c r="A34" s="750"/>
      <c r="B34" s="205" t="s">
        <v>164</v>
      </c>
      <c r="C34" s="209">
        <v>19</v>
      </c>
      <c r="D34" s="208">
        <v>129495</v>
      </c>
      <c r="E34" s="206">
        <v>133380</v>
      </c>
      <c r="F34" s="206">
        <v>137379</v>
      </c>
      <c r="G34" s="206">
        <v>141501</v>
      </c>
      <c r="H34" s="206">
        <v>145747</v>
      </c>
      <c r="I34" s="206">
        <v>150119</v>
      </c>
      <c r="J34" s="209">
        <v>154612</v>
      </c>
      <c r="K34" s="208">
        <v>129493</v>
      </c>
      <c r="L34" s="491">
        <f t="shared" si="5"/>
        <v>129493</v>
      </c>
      <c r="M34" s="256">
        <v>133377.79</v>
      </c>
      <c r="N34" s="256">
        <v>137379.12370000003</v>
      </c>
      <c r="O34" s="256">
        <v>141500.49741100002</v>
      </c>
      <c r="P34" s="256">
        <v>145745.51233333003</v>
      </c>
      <c r="Q34" s="211">
        <f t="shared" si="2"/>
        <v>151242</v>
      </c>
      <c r="R34" s="210">
        <f t="shared" si="0"/>
        <v>151242</v>
      </c>
      <c r="S34" s="207">
        <f t="shared" si="3"/>
        <v>37810.5</v>
      </c>
      <c r="T34" s="207">
        <f t="shared" si="3"/>
        <v>37810.5</v>
      </c>
      <c r="U34" s="207">
        <f t="shared" si="3"/>
        <v>37810.5</v>
      </c>
      <c r="V34" s="207">
        <f t="shared" si="3"/>
        <v>37810.5</v>
      </c>
    </row>
    <row r="35" spans="1:22" x14ac:dyDescent="0.3">
      <c r="A35" s="750"/>
      <c r="B35" s="205" t="s">
        <v>165</v>
      </c>
      <c r="C35" s="209">
        <v>18</v>
      </c>
      <c r="D35" s="208">
        <v>136803</v>
      </c>
      <c r="E35" s="206">
        <v>140907</v>
      </c>
      <c r="F35" s="206">
        <v>145131</v>
      </c>
      <c r="G35" s="206">
        <v>149487</v>
      </c>
      <c r="H35" s="206">
        <v>153972</v>
      </c>
      <c r="I35" s="206">
        <v>158590</v>
      </c>
      <c r="J35" s="209">
        <v>163338</v>
      </c>
      <c r="K35" s="208">
        <v>136802</v>
      </c>
      <c r="L35" s="491">
        <f t="shared" si="5"/>
        <v>136802</v>
      </c>
      <c r="M35" s="256">
        <v>140906.06</v>
      </c>
      <c r="N35" s="256">
        <v>145133.24179999999</v>
      </c>
      <c r="O35" s="256">
        <v>149487.23905400001</v>
      </c>
      <c r="P35" s="256">
        <v>153971.85622561999</v>
      </c>
      <c r="Q35" s="211">
        <f t="shared" si="2"/>
        <v>159777</v>
      </c>
      <c r="R35" s="210">
        <f t="shared" ref="R35:R51" si="6">ROUND((I35*0.75)+(J35*0.25),0)</f>
        <v>159777</v>
      </c>
      <c r="S35" s="207">
        <f t="shared" si="3"/>
        <v>39944.25</v>
      </c>
      <c r="T35" s="207">
        <f t="shared" si="3"/>
        <v>39944.25</v>
      </c>
      <c r="U35" s="207">
        <f t="shared" si="3"/>
        <v>39944.25</v>
      </c>
      <c r="V35" s="207">
        <f t="shared" si="3"/>
        <v>39944.25</v>
      </c>
    </row>
    <row r="36" spans="1:22" x14ac:dyDescent="0.3">
      <c r="A36" s="750"/>
      <c r="B36" s="205" t="s">
        <v>166</v>
      </c>
      <c r="C36" s="209">
        <v>11</v>
      </c>
      <c r="D36" s="208">
        <v>171726</v>
      </c>
      <c r="E36" s="206">
        <v>176878</v>
      </c>
      <c r="F36" s="206">
        <v>182184</v>
      </c>
      <c r="G36" s="206">
        <v>187649</v>
      </c>
      <c r="H36" s="206">
        <v>193278</v>
      </c>
      <c r="I36" s="206">
        <v>199077</v>
      </c>
      <c r="J36" s="209">
        <v>205044</v>
      </c>
      <c r="K36" s="208">
        <v>171726</v>
      </c>
      <c r="L36" s="491">
        <f t="shared" si="5"/>
        <v>171726</v>
      </c>
      <c r="M36" s="256">
        <v>176877.78</v>
      </c>
      <c r="N36" s="256">
        <v>182184.1134</v>
      </c>
      <c r="O36" s="256">
        <v>187649.63680199999</v>
      </c>
      <c r="P36" s="256">
        <v>193279.12590605998</v>
      </c>
      <c r="Q36" s="211">
        <f t="shared" si="2"/>
        <v>200569</v>
      </c>
      <c r="R36" s="210">
        <f t="shared" si="6"/>
        <v>200569</v>
      </c>
      <c r="S36" s="207">
        <f t="shared" ref="S36:V51" si="7">$R36/4</f>
        <v>50142.25</v>
      </c>
      <c r="T36" s="207">
        <f t="shared" si="7"/>
        <v>50142.25</v>
      </c>
      <c r="U36" s="207">
        <f t="shared" si="7"/>
        <v>50142.25</v>
      </c>
      <c r="V36" s="207">
        <f t="shared" si="7"/>
        <v>50142.25</v>
      </c>
    </row>
    <row r="37" spans="1:22" x14ac:dyDescent="0.3">
      <c r="A37" s="750"/>
      <c r="B37" s="205" t="s">
        <v>167</v>
      </c>
      <c r="C37" s="209">
        <v>20</v>
      </c>
      <c r="D37" s="208">
        <v>113195</v>
      </c>
      <c r="E37" s="206">
        <v>116590</v>
      </c>
      <c r="F37" s="206">
        <v>120088</v>
      </c>
      <c r="G37" s="206">
        <v>123690</v>
      </c>
      <c r="H37" s="206">
        <v>127401</v>
      </c>
      <c r="I37" s="206">
        <v>131221</v>
      </c>
      <c r="J37" s="209">
        <v>135146</v>
      </c>
      <c r="K37" s="208">
        <v>113194</v>
      </c>
      <c r="L37" s="491">
        <f t="shared" si="5"/>
        <v>113194</v>
      </c>
      <c r="M37" s="256">
        <v>116589.82</v>
      </c>
      <c r="N37" s="256">
        <v>120087.51460000001</v>
      </c>
      <c r="O37" s="256">
        <v>123690.14003800001</v>
      </c>
      <c r="P37" s="256">
        <v>127400.84423914002</v>
      </c>
      <c r="Q37" s="211">
        <f t="shared" si="2"/>
        <v>132202</v>
      </c>
      <c r="R37" s="210">
        <f t="shared" si="6"/>
        <v>132202</v>
      </c>
      <c r="S37" s="207">
        <f t="shared" si="7"/>
        <v>33050.5</v>
      </c>
      <c r="T37" s="207">
        <f t="shared" si="7"/>
        <v>33050.5</v>
      </c>
      <c r="U37" s="207">
        <f t="shared" si="7"/>
        <v>33050.5</v>
      </c>
      <c r="V37" s="207">
        <f t="shared" si="7"/>
        <v>33050.5</v>
      </c>
    </row>
    <row r="38" spans="1:22" x14ac:dyDescent="0.3">
      <c r="A38" s="750"/>
      <c r="B38" s="205" t="s">
        <v>168</v>
      </c>
      <c r="C38" s="209">
        <v>11</v>
      </c>
      <c r="D38" s="208">
        <v>76490</v>
      </c>
      <c r="E38" s="206">
        <v>78785</v>
      </c>
      <c r="F38" s="206">
        <v>81149</v>
      </c>
      <c r="G38" s="206">
        <v>83583</v>
      </c>
      <c r="H38" s="206">
        <v>86091</v>
      </c>
      <c r="I38" s="206">
        <v>88675</v>
      </c>
      <c r="J38" s="209">
        <v>91329</v>
      </c>
      <c r="K38" s="208">
        <v>76491</v>
      </c>
      <c r="L38" s="491">
        <f t="shared" si="5"/>
        <v>76491</v>
      </c>
      <c r="M38" s="256">
        <v>78785.73</v>
      </c>
      <c r="N38" s="256">
        <v>81149.301899999991</v>
      </c>
      <c r="O38" s="256">
        <v>83583.780956999995</v>
      </c>
      <c r="P38" s="256">
        <v>86091.294385710004</v>
      </c>
      <c r="Q38" s="211">
        <f t="shared" si="2"/>
        <v>89339</v>
      </c>
      <c r="R38" s="210">
        <f t="shared" si="6"/>
        <v>89339</v>
      </c>
      <c r="S38" s="207">
        <f t="shared" si="7"/>
        <v>22334.75</v>
      </c>
      <c r="T38" s="207">
        <f t="shared" si="7"/>
        <v>22334.75</v>
      </c>
      <c r="U38" s="207">
        <f t="shared" si="7"/>
        <v>22334.75</v>
      </c>
      <c r="V38" s="207">
        <f t="shared" si="7"/>
        <v>22334.75</v>
      </c>
    </row>
    <row r="39" spans="1:22" x14ac:dyDescent="0.3">
      <c r="A39" s="750"/>
      <c r="B39" s="205" t="s">
        <v>169</v>
      </c>
      <c r="C39" s="209">
        <v>15</v>
      </c>
      <c r="D39" s="208">
        <v>88370</v>
      </c>
      <c r="E39" s="206">
        <v>91020</v>
      </c>
      <c r="F39" s="206">
        <v>93753</v>
      </c>
      <c r="G39" s="206">
        <v>96563</v>
      </c>
      <c r="H39" s="206">
        <v>99459</v>
      </c>
      <c r="I39" s="206">
        <v>102442</v>
      </c>
      <c r="J39" s="209">
        <v>105506</v>
      </c>
      <c r="K39" s="208">
        <v>88370</v>
      </c>
      <c r="L39" s="491">
        <f>K39</f>
        <v>88370</v>
      </c>
      <c r="M39" s="256">
        <v>91021.1</v>
      </c>
      <c r="N39" s="256">
        <v>93751.733000000007</v>
      </c>
      <c r="O39" s="256">
        <v>96564.284990000015</v>
      </c>
      <c r="P39" s="256">
        <v>99461.213539700024</v>
      </c>
      <c r="Q39" s="211">
        <f t="shared" si="2"/>
        <v>103208</v>
      </c>
      <c r="R39" s="210">
        <f t="shared" si="6"/>
        <v>103208</v>
      </c>
      <c r="S39" s="207">
        <f t="shared" si="7"/>
        <v>25802</v>
      </c>
      <c r="T39" s="207">
        <f t="shared" si="7"/>
        <v>25802</v>
      </c>
      <c r="U39" s="207">
        <f t="shared" si="7"/>
        <v>25802</v>
      </c>
      <c r="V39" s="207">
        <f t="shared" si="7"/>
        <v>25802</v>
      </c>
    </row>
    <row r="40" spans="1:22" ht="15" thickBot="1" x14ac:dyDescent="0.35">
      <c r="A40" s="752"/>
      <c r="B40" s="229" t="s">
        <v>170</v>
      </c>
      <c r="C40" s="230">
        <v>17</v>
      </c>
      <c r="D40" s="231">
        <v>110064</v>
      </c>
      <c r="E40" s="232">
        <v>113364</v>
      </c>
      <c r="F40" s="232">
        <v>116762</v>
      </c>
      <c r="G40" s="232">
        <v>120267</v>
      </c>
      <c r="H40" s="232">
        <v>123876</v>
      </c>
      <c r="I40" s="232">
        <v>127594</v>
      </c>
      <c r="J40" s="230">
        <v>131415</v>
      </c>
      <c r="K40" s="231">
        <v>110060</v>
      </c>
      <c r="L40" s="231">
        <f>K40</f>
        <v>110060</v>
      </c>
      <c r="M40" s="487">
        <v>113361.8</v>
      </c>
      <c r="N40" s="487">
        <v>116762.65400000001</v>
      </c>
      <c r="O40" s="487">
        <v>120265.53362000002</v>
      </c>
      <c r="P40" s="487">
        <v>123873.49962860002</v>
      </c>
      <c r="Q40" s="233">
        <f t="shared" si="2"/>
        <v>128549</v>
      </c>
      <c r="R40" s="234">
        <f t="shared" si="6"/>
        <v>128549</v>
      </c>
      <c r="S40" s="235">
        <f t="shared" si="7"/>
        <v>32137.25</v>
      </c>
      <c r="T40" s="235">
        <f t="shared" si="7"/>
        <v>32137.25</v>
      </c>
      <c r="U40" s="235">
        <f t="shared" si="7"/>
        <v>32137.25</v>
      </c>
      <c r="V40" s="235">
        <f t="shared" si="7"/>
        <v>32137.25</v>
      </c>
    </row>
    <row r="41" spans="1:22" x14ac:dyDescent="0.3">
      <c r="A41" s="749" t="s">
        <v>130</v>
      </c>
      <c r="B41" s="215" t="s">
        <v>171</v>
      </c>
      <c r="C41" s="217">
        <v>14</v>
      </c>
      <c r="D41" s="218">
        <v>70241</v>
      </c>
      <c r="E41" s="216">
        <v>72349</v>
      </c>
      <c r="F41" s="216">
        <v>74519</v>
      </c>
      <c r="G41" s="216">
        <v>76754</v>
      </c>
      <c r="H41" s="216">
        <v>79057</v>
      </c>
      <c r="I41" s="216">
        <v>81430</v>
      </c>
      <c r="J41" s="217">
        <v>83866</v>
      </c>
      <c r="K41" s="218">
        <v>70243</v>
      </c>
      <c r="L41" s="516">
        <f t="shared" ref="L41:L51" si="8">K41*0.75</f>
        <v>52682.25</v>
      </c>
      <c r="M41" s="486">
        <v>72350.290000000008</v>
      </c>
      <c r="N41" s="486">
        <v>74520.798700000014</v>
      </c>
      <c r="O41" s="486">
        <v>76756.422661000019</v>
      </c>
      <c r="P41" s="486">
        <v>79059.115340830016</v>
      </c>
      <c r="Q41" s="219">
        <f t="shared" si="2"/>
        <v>82039</v>
      </c>
      <c r="R41" s="220">
        <f t="shared" si="6"/>
        <v>82039</v>
      </c>
      <c r="S41" s="207">
        <f t="shared" si="7"/>
        <v>20509.75</v>
      </c>
      <c r="T41" s="207">
        <f t="shared" si="7"/>
        <v>20509.75</v>
      </c>
      <c r="U41" s="207">
        <f t="shared" si="7"/>
        <v>20509.75</v>
      </c>
      <c r="V41" s="207">
        <f t="shared" si="7"/>
        <v>20509.75</v>
      </c>
    </row>
    <row r="42" spans="1:22" x14ac:dyDescent="0.3">
      <c r="A42" s="750"/>
      <c r="B42" s="205" t="s">
        <v>172</v>
      </c>
      <c r="C42" s="209">
        <v>17</v>
      </c>
      <c r="D42" s="208">
        <v>170639</v>
      </c>
      <c r="E42" s="206">
        <v>175758</v>
      </c>
      <c r="F42" s="206">
        <v>181033</v>
      </c>
      <c r="G42" s="206">
        <v>186462</v>
      </c>
      <c r="H42" s="206">
        <v>192058</v>
      </c>
      <c r="I42" s="206">
        <v>197818</v>
      </c>
      <c r="J42" s="209">
        <v>203745</v>
      </c>
      <c r="K42" s="208">
        <v>170640</v>
      </c>
      <c r="L42" s="516">
        <f t="shared" si="8"/>
        <v>127980</v>
      </c>
      <c r="M42" s="256">
        <v>175759.2</v>
      </c>
      <c r="N42" s="256">
        <v>181031.97600000002</v>
      </c>
      <c r="O42" s="256">
        <v>186462.93528000003</v>
      </c>
      <c r="P42" s="256">
        <v>192056.82333840005</v>
      </c>
      <c r="Q42" s="211">
        <f t="shared" si="2"/>
        <v>199300</v>
      </c>
      <c r="R42" s="210">
        <f t="shared" si="6"/>
        <v>199300</v>
      </c>
      <c r="S42" s="207">
        <f t="shared" si="7"/>
        <v>49825</v>
      </c>
      <c r="T42" s="207">
        <f t="shared" si="7"/>
        <v>49825</v>
      </c>
      <c r="U42" s="207">
        <f t="shared" si="7"/>
        <v>49825</v>
      </c>
      <c r="V42" s="207">
        <f t="shared" si="7"/>
        <v>49825</v>
      </c>
    </row>
    <row r="43" spans="1:22" x14ac:dyDescent="0.3">
      <c r="A43" s="750"/>
      <c r="B43" s="205" t="s">
        <v>173</v>
      </c>
      <c r="C43" s="209">
        <v>20</v>
      </c>
      <c r="D43" s="208">
        <v>152110</v>
      </c>
      <c r="E43" s="206">
        <v>156671</v>
      </c>
      <c r="F43" s="206">
        <v>161370</v>
      </c>
      <c r="G43" s="206">
        <v>166212</v>
      </c>
      <c r="H43" s="206">
        <v>171200</v>
      </c>
      <c r="I43" s="206">
        <v>176335</v>
      </c>
      <c r="J43" s="209">
        <v>181616</v>
      </c>
      <c r="K43" s="208">
        <v>152108.00000000003</v>
      </c>
      <c r="L43" s="516">
        <f t="shared" si="8"/>
        <v>114081.00000000003</v>
      </c>
      <c r="M43" s="256">
        <v>156671.24000000002</v>
      </c>
      <c r="N43" s="256">
        <v>161371.37720000002</v>
      </c>
      <c r="O43" s="256">
        <v>166212.51851600001</v>
      </c>
      <c r="P43" s="256">
        <v>171198.89407148003</v>
      </c>
      <c r="Q43" s="211">
        <f t="shared" si="2"/>
        <v>177655</v>
      </c>
      <c r="R43" s="210">
        <f t="shared" si="6"/>
        <v>177655</v>
      </c>
      <c r="S43" s="207">
        <f t="shared" si="7"/>
        <v>44413.75</v>
      </c>
      <c r="T43" s="207">
        <f t="shared" si="7"/>
        <v>44413.75</v>
      </c>
      <c r="U43" s="207">
        <f t="shared" si="7"/>
        <v>44413.75</v>
      </c>
      <c r="V43" s="207">
        <f t="shared" si="7"/>
        <v>44413.75</v>
      </c>
    </row>
    <row r="44" spans="1:22" x14ac:dyDescent="0.3">
      <c r="A44" s="750"/>
      <c r="B44" s="205" t="s">
        <v>174</v>
      </c>
      <c r="C44" s="209">
        <v>13</v>
      </c>
      <c r="D44" s="208">
        <v>118037</v>
      </c>
      <c r="E44" s="206">
        <v>121579</v>
      </c>
      <c r="F44" s="206">
        <v>125229</v>
      </c>
      <c r="G44" s="206">
        <v>128983</v>
      </c>
      <c r="H44" s="206">
        <v>132851</v>
      </c>
      <c r="I44" s="206">
        <v>136837</v>
      </c>
      <c r="J44" s="209">
        <v>140935</v>
      </c>
      <c r="K44" s="208">
        <v>118039</v>
      </c>
      <c r="L44" s="516">
        <f t="shared" si="8"/>
        <v>88529.25</v>
      </c>
      <c r="M44" s="256">
        <v>121580.17</v>
      </c>
      <c r="N44" s="256">
        <v>125227.5751</v>
      </c>
      <c r="O44" s="256">
        <v>128984.40235300001</v>
      </c>
      <c r="P44" s="256">
        <v>132853.93442359002</v>
      </c>
      <c r="Q44" s="211">
        <f t="shared" si="2"/>
        <v>137862</v>
      </c>
      <c r="R44" s="210">
        <f t="shared" si="6"/>
        <v>137862</v>
      </c>
      <c r="S44" s="207">
        <f t="shared" si="7"/>
        <v>34465.5</v>
      </c>
      <c r="T44" s="207">
        <f t="shared" si="7"/>
        <v>34465.5</v>
      </c>
      <c r="U44" s="207">
        <f t="shared" si="7"/>
        <v>34465.5</v>
      </c>
      <c r="V44" s="207">
        <f t="shared" si="7"/>
        <v>34465.5</v>
      </c>
    </row>
    <row r="45" spans="1:22" x14ac:dyDescent="0.3">
      <c r="A45" s="750"/>
      <c r="B45" s="205" t="s">
        <v>175</v>
      </c>
      <c r="C45" s="209">
        <v>13</v>
      </c>
      <c r="D45" s="208">
        <v>133679</v>
      </c>
      <c r="E45" s="206">
        <v>137689</v>
      </c>
      <c r="F45" s="206">
        <v>141821</v>
      </c>
      <c r="G45" s="206">
        <v>146075</v>
      </c>
      <c r="H45" s="206">
        <v>150460</v>
      </c>
      <c r="I45" s="206">
        <v>166117</v>
      </c>
      <c r="J45" s="209">
        <v>171094</v>
      </c>
      <c r="K45" s="208">
        <v>133679</v>
      </c>
      <c r="L45" s="516">
        <f t="shared" si="8"/>
        <v>100259.25</v>
      </c>
      <c r="M45" s="256">
        <v>137689.37</v>
      </c>
      <c r="N45" s="256">
        <v>141820.05110000001</v>
      </c>
      <c r="O45" s="256">
        <v>146074.65263300002</v>
      </c>
      <c r="P45" s="256">
        <v>150456.89221199002</v>
      </c>
      <c r="Q45" s="211">
        <f t="shared" si="2"/>
        <v>167361</v>
      </c>
      <c r="R45" s="210">
        <f t="shared" si="6"/>
        <v>167361</v>
      </c>
      <c r="S45" s="207">
        <f t="shared" si="7"/>
        <v>41840.25</v>
      </c>
      <c r="T45" s="207">
        <f t="shared" si="7"/>
        <v>41840.25</v>
      </c>
      <c r="U45" s="207">
        <f t="shared" si="7"/>
        <v>41840.25</v>
      </c>
      <c r="V45" s="207">
        <f t="shared" si="7"/>
        <v>41840.25</v>
      </c>
    </row>
    <row r="46" spans="1:22" x14ac:dyDescent="0.3">
      <c r="A46" s="750"/>
      <c r="B46" s="205" t="s">
        <v>176</v>
      </c>
      <c r="C46" s="209">
        <v>24</v>
      </c>
      <c r="D46" s="208">
        <v>231383</v>
      </c>
      <c r="E46" s="206">
        <v>238324</v>
      </c>
      <c r="F46" s="206">
        <v>245471</v>
      </c>
      <c r="G46" s="206">
        <v>252838</v>
      </c>
      <c r="H46" s="206">
        <v>260424</v>
      </c>
      <c r="I46" s="206">
        <v>268236</v>
      </c>
      <c r="J46" s="209">
        <v>276271</v>
      </c>
      <c r="K46" s="208">
        <v>231383</v>
      </c>
      <c r="L46" s="516">
        <f t="shared" si="8"/>
        <v>173537.25</v>
      </c>
      <c r="M46" s="256">
        <v>238324.49000000002</v>
      </c>
      <c r="N46" s="256">
        <v>245474.22470000002</v>
      </c>
      <c r="O46" s="256">
        <v>252838.45144100004</v>
      </c>
      <c r="P46" s="256">
        <v>260423.60498423004</v>
      </c>
      <c r="Q46" s="211">
        <f t="shared" si="2"/>
        <v>270245</v>
      </c>
      <c r="R46" s="210">
        <f t="shared" si="6"/>
        <v>270245</v>
      </c>
      <c r="S46" s="207">
        <f t="shared" si="7"/>
        <v>67561.25</v>
      </c>
      <c r="T46" s="207">
        <f t="shared" si="7"/>
        <v>67561.25</v>
      </c>
      <c r="U46" s="207">
        <f t="shared" si="7"/>
        <v>67561.25</v>
      </c>
      <c r="V46" s="207">
        <f t="shared" si="7"/>
        <v>67561.25</v>
      </c>
    </row>
    <row r="47" spans="1:22" x14ac:dyDescent="0.3">
      <c r="A47" s="750"/>
      <c r="B47" s="205" t="s">
        <v>177</v>
      </c>
      <c r="C47" s="209">
        <v>15</v>
      </c>
      <c r="D47" s="208">
        <v>116324</v>
      </c>
      <c r="E47" s="206">
        <v>119814</v>
      </c>
      <c r="F47" s="206">
        <v>123408</v>
      </c>
      <c r="G47" s="206">
        <v>127108</v>
      </c>
      <c r="H47" s="206">
        <v>130921</v>
      </c>
      <c r="I47" s="206">
        <v>134847</v>
      </c>
      <c r="J47" s="209">
        <v>138885</v>
      </c>
      <c r="K47" s="208">
        <v>116323</v>
      </c>
      <c r="L47" s="516">
        <f t="shared" si="8"/>
        <v>87242.25</v>
      </c>
      <c r="M47" s="256">
        <v>119812.69</v>
      </c>
      <c r="N47" s="256">
        <v>123407.07070000001</v>
      </c>
      <c r="O47" s="256">
        <v>127109.28282100002</v>
      </c>
      <c r="P47" s="256">
        <v>130922.56130563002</v>
      </c>
      <c r="Q47" s="211">
        <f t="shared" si="2"/>
        <v>135857</v>
      </c>
      <c r="R47" s="210">
        <f t="shared" si="6"/>
        <v>135857</v>
      </c>
      <c r="S47" s="207">
        <f t="shared" si="7"/>
        <v>33964.25</v>
      </c>
      <c r="T47" s="207">
        <f t="shared" si="7"/>
        <v>33964.25</v>
      </c>
      <c r="U47" s="207">
        <f t="shared" si="7"/>
        <v>33964.25</v>
      </c>
      <c r="V47" s="207">
        <f t="shared" si="7"/>
        <v>33964.25</v>
      </c>
    </row>
    <row r="48" spans="1:22" x14ac:dyDescent="0.3">
      <c r="A48" s="750"/>
      <c r="B48" s="205" t="s">
        <v>178</v>
      </c>
      <c r="C48" s="209">
        <v>17</v>
      </c>
      <c r="D48" s="208">
        <v>103603</v>
      </c>
      <c r="E48" s="206">
        <v>106712</v>
      </c>
      <c r="F48" s="206">
        <v>109914</v>
      </c>
      <c r="G48" s="206">
        <v>113212</v>
      </c>
      <c r="H48" s="206">
        <v>116609</v>
      </c>
      <c r="I48" s="206">
        <v>120107</v>
      </c>
      <c r="J48" s="209">
        <v>123702</v>
      </c>
      <c r="K48" s="208">
        <v>103604</v>
      </c>
      <c r="L48" s="516">
        <f t="shared" si="8"/>
        <v>77703</v>
      </c>
      <c r="M48" s="256">
        <v>106712.12000000001</v>
      </c>
      <c r="N48" s="256">
        <v>109913.48360000001</v>
      </c>
      <c r="O48" s="256">
        <v>113210.88810800001</v>
      </c>
      <c r="P48" s="256">
        <v>116607.21475124001</v>
      </c>
      <c r="Q48" s="211">
        <f t="shared" si="2"/>
        <v>121006</v>
      </c>
      <c r="R48" s="210">
        <f t="shared" si="6"/>
        <v>121006</v>
      </c>
      <c r="S48" s="207">
        <f t="shared" si="7"/>
        <v>30251.5</v>
      </c>
      <c r="T48" s="207">
        <f t="shared" si="7"/>
        <v>30251.5</v>
      </c>
      <c r="U48" s="207">
        <f t="shared" si="7"/>
        <v>30251.5</v>
      </c>
      <c r="V48" s="207">
        <f t="shared" si="7"/>
        <v>30251.5</v>
      </c>
    </row>
    <row r="49" spans="1:22" x14ac:dyDescent="0.3">
      <c r="A49" s="750"/>
      <c r="B49" s="205" t="s">
        <v>179</v>
      </c>
      <c r="C49" s="209">
        <v>12</v>
      </c>
      <c r="D49" s="208">
        <v>72563</v>
      </c>
      <c r="E49" s="206">
        <v>74741</v>
      </c>
      <c r="F49" s="206">
        <v>76983</v>
      </c>
      <c r="G49" s="206">
        <v>79293</v>
      </c>
      <c r="H49" s="206">
        <v>81672</v>
      </c>
      <c r="I49" s="206">
        <v>84123</v>
      </c>
      <c r="J49" s="209">
        <v>86641</v>
      </c>
      <c r="K49" s="208">
        <v>72564</v>
      </c>
      <c r="L49" s="516">
        <f t="shared" si="8"/>
        <v>54423</v>
      </c>
      <c r="M49" s="256">
        <v>74740.92</v>
      </c>
      <c r="N49" s="256">
        <v>76983.147599999997</v>
      </c>
      <c r="O49" s="256">
        <v>79292.642028000002</v>
      </c>
      <c r="P49" s="256">
        <v>81671.421288840007</v>
      </c>
      <c r="Q49" s="211">
        <f t="shared" si="2"/>
        <v>84753</v>
      </c>
      <c r="R49" s="210">
        <f t="shared" si="6"/>
        <v>84753</v>
      </c>
      <c r="S49" s="207">
        <f t="shared" si="7"/>
        <v>21188.25</v>
      </c>
      <c r="T49" s="207">
        <f t="shared" si="7"/>
        <v>21188.25</v>
      </c>
      <c r="U49" s="207">
        <f t="shared" si="7"/>
        <v>21188.25</v>
      </c>
      <c r="V49" s="207">
        <f t="shared" si="7"/>
        <v>21188.25</v>
      </c>
    </row>
    <row r="50" spans="1:22" x14ac:dyDescent="0.3">
      <c r="A50" s="750"/>
      <c r="B50" s="205" t="s">
        <v>180</v>
      </c>
      <c r="C50" s="209">
        <v>14</v>
      </c>
      <c r="D50" s="208">
        <v>67531</v>
      </c>
      <c r="E50" s="206">
        <v>69557</v>
      </c>
      <c r="F50" s="206">
        <v>71644</v>
      </c>
      <c r="G50" s="206">
        <v>73795</v>
      </c>
      <c r="H50" s="206">
        <v>76009</v>
      </c>
      <c r="I50" s="206">
        <v>78290</v>
      </c>
      <c r="J50" s="209">
        <v>80633</v>
      </c>
      <c r="K50" s="208">
        <v>67531</v>
      </c>
      <c r="L50" s="516">
        <f t="shared" si="8"/>
        <v>50648.25</v>
      </c>
      <c r="M50" s="256">
        <v>69556.930000000008</v>
      </c>
      <c r="N50" s="256">
        <v>71643.637900000016</v>
      </c>
      <c r="O50" s="256">
        <v>73792.94703700002</v>
      </c>
      <c r="P50" s="256">
        <v>76006.735448110019</v>
      </c>
      <c r="Q50" s="211">
        <f t="shared" si="2"/>
        <v>78876</v>
      </c>
      <c r="R50" s="210">
        <f t="shared" si="6"/>
        <v>78876</v>
      </c>
      <c r="S50" s="207">
        <f t="shared" si="7"/>
        <v>19719</v>
      </c>
      <c r="T50" s="207">
        <f t="shared" si="7"/>
        <v>19719</v>
      </c>
      <c r="U50" s="207">
        <f t="shared" si="7"/>
        <v>19719</v>
      </c>
      <c r="V50" s="207">
        <f t="shared" si="7"/>
        <v>19719</v>
      </c>
    </row>
    <row r="51" spans="1:22" ht="15" thickBot="1" x14ac:dyDescent="0.35">
      <c r="A51" s="752"/>
      <c r="B51" s="229" t="s">
        <v>181</v>
      </c>
      <c r="C51" s="230">
        <v>13</v>
      </c>
      <c r="D51" s="231">
        <v>90181</v>
      </c>
      <c r="E51" s="232">
        <v>92887</v>
      </c>
      <c r="F51" s="232">
        <v>95674</v>
      </c>
      <c r="G51" s="232">
        <v>98544</v>
      </c>
      <c r="H51" s="232">
        <v>101500</v>
      </c>
      <c r="I51" s="232">
        <v>104547</v>
      </c>
      <c r="J51" s="230">
        <v>107676</v>
      </c>
      <c r="K51" s="231">
        <v>90182</v>
      </c>
      <c r="L51" s="516">
        <f t="shared" si="8"/>
        <v>67636.5</v>
      </c>
      <c r="M51" s="487">
        <v>92887.46</v>
      </c>
      <c r="N51" s="487">
        <v>95674.083800000008</v>
      </c>
      <c r="O51" s="487">
        <v>98544.306314000016</v>
      </c>
      <c r="P51" s="487">
        <v>101500.63550342002</v>
      </c>
      <c r="Q51" s="233">
        <f t="shared" si="2"/>
        <v>105329</v>
      </c>
      <c r="R51" s="234">
        <f t="shared" si="6"/>
        <v>105329</v>
      </c>
      <c r="S51" s="235">
        <f t="shared" si="7"/>
        <v>26332.25</v>
      </c>
      <c r="T51" s="235">
        <f t="shared" si="7"/>
        <v>26332.25</v>
      </c>
      <c r="U51" s="235">
        <f t="shared" si="7"/>
        <v>26332.25</v>
      </c>
      <c r="V51" s="235">
        <f t="shared" si="7"/>
        <v>26332.25</v>
      </c>
    </row>
    <row r="52" spans="1:22" x14ac:dyDescent="0.3">
      <c r="A52" s="749" t="s">
        <v>131</v>
      </c>
      <c r="B52" s="215" t="s">
        <v>182</v>
      </c>
      <c r="C52" s="217">
        <v>20</v>
      </c>
      <c r="D52" s="218">
        <v>132309</v>
      </c>
      <c r="E52" s="216">
        <v>136280</v>
      </c>
      <c r="F52" s="216">
        <v>140364</v>
      </c>
      <c r="G52" s="216">
        <v>144580</v>
      </c>
      <c r="H52" s="216">
        <v>148918</v>
      </c>
      <c r="I52" s="216">
        <v>153385</v>
      </c>
      <c r="J52" s="217">
        <v>157975</v>
      </c>
      <c r="K52" s="218">
        <v>132310</v>
      </c>
      <c r="L52" s="218">
        <f t="shared" ref="L52:L58" si="9">K52</f>
        <v>132310</v>
      </c>
      <c r="M52" s="486">
        <v>136279.30000000002</v>
      </c>
      <c r="N52" s="486">
        <v>140367.67900000003</v>
      </c>
      <c r="O52" s="486">
        <v>144578.70937000003</v>
      </c>
      <c r="P52" s="486">
        <v>148916.07065110002</v>
      </c>
      <c r="Q52" s="219">
        <f t="shared" si="2"/>
        <v>77266.5</v>
      </c>
      <c r="R52" s="220">
        <f>ROUND(((I52*0.75)+(J52*0.25)),0)</f>
        <v>154533</v>
      </c>
      <c r="S52" s="207">
        <f t="shared" ref="S52:T54" si="10">$R52/4</f>
        <v>38633.25</v>
      </c>
      <c r="T52" s="207">
        <f t="shared" si="10"/>
        <v>38633.25</v>
      </c>
      <c r="U52" s="207"/>
      <c r="V52" s="207"/>
    </row>
    <row r="53" spans="1:22" x14ac:dyDescent="0.3">
      <c r="A53" s="750"/>
      <c r="B53" s="205" t="s">
        <v>183</v>
      </c>
      <c r="C53" s="209">
        <v>17</v>
      </c>
      <c r="D53" s="208">
        <v>108938</v>
      </c>
      <c r="E53" s="206">
        <v>112207</v>
      </c>
      <c r="F53" s="206">
        <v>115572</v>
      </c>
      <c r="G53" s="206">
        <v>119038</v>
      </c>
      <c r="H53" s="206">
        <v>122608</v>
      </c>
      <c r="I53" s="206">
        <v>126287</v>
      </c>
      <c r="J53" s="209">
        <v>130067</v>
      </c>
      <c r="K53" s="208">
        <v>108938</v>
      </c>
      <c r="L53" s="491">
        <f t="shared" si="9"/>
        <v>108938</v>
      </c>
      <c r="M53" s="256">
        <v>112206.14</v>
      </c>
      <c r="N53" s="256">
        <v>115572.3242</v>
      </c>
      <c r="O53" s="256">
        <v>119039.49392600001</v>
      </c>
      <c r="P53" s="256">
        <v>122610.67874378001</v>
      </c>
      <c r="Q53" s="211">
        <f t="shared" si="2"/>
        <v>63616</v>
      </c>
      <c r="R53" s="210">
        <f>ROUND(((I53*0.75)+(J53*0.25)),0)</f>
        <v>127232</v>
      </c>
      <c r="S53" s="207">
        <f t="shared" si="10"/>
        <v>31808</v>
      </c>
      <c r="T53" s="207">
        <f t="shared" si="10"/>
        <v>31808</v>
      </c>
      <c r="U53" s="207"/>
      <c r="V53" s="207"/>
    </row>
    <row r="54" spans="1:22" ht="15" thickBot="1" x14ac:dyDescent="0.35">
      <c r="A54" s="752"/>
      <c r="B54" s="229" t="s">
        <v>184</v>
      </c>
      <c r="C54" s="230">
        <v>17</v>
      </c>
      <c r="D54" s="231">
        <v>84718</v>
      </c>
      <c r="E54" s="232">
        <v>87260</v>
      </c>
      <c r="F54" s="232">
        <v>89881</v>
      </c>
      <c r="G54" s="232">
        <v>92577</v>
      </c>
      <c r="H54" s="232">
        <v>95354</v>
      </c>
      <c r="I54" s="232">
        <v>98216</v>
      </c>
      <c r="J54" s="230">
        <v>101156</v>
      </c>
      <c r="K54" s="231">
        <v>92705</v>
      </c>
      <c r="L54" s="231">
        <f t="shared" si="9"/>
        <v>92705</v>
      </c>
      <c r="M54" s="487">
        <v>95486.150000000009</v>
      </c>
      <c r="N54" s="487">
        <v>98350.734500000006</v>
      </c>
      <c r="O54" s="487">
        <v>101301.25653500001</v>
      </c>
      <c r="P54" s="487">
        <v>104340.29423105001</v>
      </c>
      <c r="Q54" s="233">
        <f t="shared" si="2"/>
        <v>49475.5</v>
      </c>
      <c r="R54" s="234">
        <f>ROUND(((I54*0.75)+(J54*0.25)),0)</f>
        <v>98951</v>
      </c>
      <c r="S54" s="235">
        <f t="shared" si="10"/>
        <v>24737.75</v>
      </c>
      <c r="T54" s="235">
        <f t="shared" si="10"/>
        <v>24737.75</v>
      </c>
      <c r="U54" s="235"/>
      <c r="V54" s="235"/>
    </row>
    <row r="55" spans="1:22" x14ac:dyDescent="0.3">
      <c r="A55" s="749" t="s">
        <v>591</v>
      </c>
      <c r="B55" s="465" t="s">
        <v>593</v>
      </c>
      <c r="C55" s="217">
        <v>18</v>
      </c>
      <c r="D55" s="218"/>
      <c r="E55" s="216"/>
      <c r="F55" s="216"/>
      <c r="G55" s="216"/>
      <c r="H55" s="216"/>
      <c r="I55" s="216"/>
      <c r="J55" s="217"/>
      <c r="K55" s="218">
        <v>83578</v>
      </c>
      <c r="L55" s="218">
        <f t="shared" si="9"/>
        <v>83578</v>
      </c>
      <c r="M55" s="486">
        <v>86085.34</v>
      </c>
      <c r="N55" s="486">
        <v>44333.950100000002</v>
      </c>
      <c r="O55" s="486"/>
      <c r="P55" s="486"/>
      <c r="Q55" s="217"/>
      <c r="R55" s="202"/>
    </row>
    <row r="56" spans="1:22" x14ac:dyDescent="0.3">
      <c r="A56" s="750"/>
      <c r="B56" s="465" t="s">
        <v>594</v>
      </c>
      <c r="C56" s="209">
        <v>16</v>
      </c>
      <c r="D56" s="208"/>
      <c r="E56" s="480"/>
      <c r="F56" s="480"/>
      <c r="G56" s="480"/>
      <c r="H56" s="480"/>
      <c r="I56" s="480"/>
      <c r="J56" s="209"/>
      <c r="K56" s="208">
        <v>201933</v>
      </c>
      <c r="L56" s="491">
        <f t="shared" si="9"/>
        <v>201933</v>
      </c>
      <c r="M56" s="256">
        <v>207990.99000000002</v>
      </c>
      <c r="N56" s="256"/>
      <c r="O56" s="256"/>
      <c r="P56" s="256"/>
      <c r="Q56" s="209"/>
      <c r="R56" s="202"/>
    </row>
    <row r="57" spans="1:22" x14ac:dyDescent="0.3">
      <c r="A57" s="751"/>
      <c r="B57" s="465" t="s">
        <v>595</v>
      </c>
      <c r="C57" s="456">
        <v>13</v>
      </c>
      <c r="D57" s="208"/>
      <c r="E57" s="480"/>
      <c r="F57" s="480"/>
      <c r="G57" s="480"/>
      <c r="H57" s="480"/>
      <c r="I57" s="480"/>
      <c r="J57" s="209"/>
      <c r="K57" s="208">
        <v>155886</v>
      </c>
      <c r="L57" s="491">
        <f t="shared" si="9"/>
        <v>155886</v>
      </c>
      <c r="M57" s="256">
        <v>160562.58000000002</v>
      </c>
      <c r="N57" s="256"/>
      <c r="O57" s="256"/>
      <c r="P57" s="256"/>
      <c r="Q57" s="209"/>
      <c r="R57" s="202"/>
    </row>
    <row r="58" spans="1:22" ht="15" thickBot="1" x14ac:dyDescent="0.35">
      <c r="A58" s="752"/>
      <c r="B58" s="464" t="s">
        <v>592</v>
      </c>
      <c r="C58" s="230">
        <v>18</v>
      </c>
      <c r="D58" s="231"/>
      <c r="E58" s="232"/>
      <c r="F58" s="232"/>
      <c r="G58" s="232"/>
      <c r="H58" s="232"/>
      <c r="I58" s="232"/>
      <c r="J58" s="230"/>
      <c r="K58" s="231">
        <v>76248</v>
      </c>
      <c r="L58" s="231">
        <f t="shared" si="9"/>
        <v>76248</v>
      </c>
      <c r="M58" s="487">
        <v>78535.44</v>
      </c>
      <c r="N58" s="487">
        <v>40445.751600000003</v>
      </c>
      <c r="O58" s="487"/>
      <c r="P58" s="487"/>
      <c r="Q58" s="230"/>
      <c r="R58" s="202"/>
    </row>
    <row r="59" spans="1:22" x14ac:dyDescent="0.3">
      <c r="A59" s="242" t="s">
        <v>193</v>
      </c>
      <c r="B59" s="236"/>
      <c r="C59" s="237">
        <f>SUM(C3:C54)</f>
        <v>901</v>
      </c>
      <c r="D59" s="238">
        <f t="shared" ref="D59:R59" si="11">SUM(D3:D54)</f>
        <v>8377641</v>
      </c>
      <c r="E59" s="239">
        <f t="shared" si="11"/>
        <v>8628979</v>
      </c>
      <c r="F59" s="239">
        <f t="shared" si="11"/>
        <v>8887822</v>
      </c>
      <c r="G59" s="239">
        <f t="shared" si="11"/>
        <v>9154473</v>
      </c>
      <c r="H59" s="239">
        <f t="shared" si="11"/>
        <v>9381707</v>
      </c>
      <c r="I59" s="239">
        <f t="shared" si="11"/>
        <v>9686950</v>
      </c>
      <c r="J59" s="237">
        <f t="shared" si="11"/>
        <v>9977106</v>
      </c>
      <c r="K59" s="238">
        <f>SUM(K3:K58)</f>
        <v>8902466</v>
      </c>
      <c r="L59" s="519">
        <f>SUM(L3:L58)</f>
        <v>7337644</v>
      </c>
      <c r="M59" s="518">
        <f>SUM(M3:M58)</f>
        <v>9169539.9800000023</v>
      </c>
      <c r="N59" s="518">
        <f>SUM(N3:N58)</f>
        <v>8980236.3005999997</v>
      </c>
      <c r="O59" s="239">
        <f t="shared" si="11"/>
        <v>9162320.2968669999</v>
      </c>
      <c r="P59" s="239">
        <f t="shared" si="11"/>
        <v>9437189.9057730101</v>
      </c>
      <c r="Q59" s="237">
        <f t="shared" si="11"/>
        <v>9569136</v>
      </c>
      <c r="R59" s="240">
        <f t="shared" si="11"/>
        <v>9759494</v>
      </c>
      <c r="S59" s="241">
        <f>SUM(S3:S54)</f>
        <v>2439873.5</v>
      </c>
      <c r="T59" s="241">
        <f>SUM(T3:T54)</f>
        <v>2439873.5</v>
      </c>
      <c r="U59" s="241">
        <f>SUM(U3:U54)</f>
        <v>2344694.5</v>
      </c>
      <c r="V59" s="241">
        <f>SUM(V3:V54)</f>
        <v>2344694.5</v>
      </c>
    </row>
  </sheetData>
  <sortState ref="B114:P117">
    <sortCondition ref="B114"/>
  </sortState>
  <mergeCells count="9">
    <mergeCell ref="A55:A58"/>
    <mergeCell ref="R1:V1"/>
    <mergeCell ref="A41:A51"/>
    <mergeCell ref="A52:A54"/>
    <mergeCell ref="D1:J1"/>
    <mergeCell ref="K1:Q1"/>
    <mergeCell ref="A3:A13"/>
    <mergeCell ref="A14:A30"/>
    <mergeCell ref="A31:A40"/>
  </mergeCells>
  <pageMargins left="0.7" right="0.7" top="0.75" bottom="0.75" header="0.3" footer="0.3"/>
  <pageSetup orientation="portrait" r:id="rId1"/>
  <legacyDrawing r:id="rId2"/>
</worksheet>
</file>

<file path=docProps/app.xml><?xml version="1.0" encoding="utf-8"?>
<ap:Properties xmlns:vt="http://schemas.openxmlformats.org/officeDocument/2006/docPropsVTypes" xmlns:ap="http://schemas.openxmlformats.org/officeDocument/2006/extended-properties">
  <ap:Application>Microsoft Excel</ap:Application>
  <ap:ScaleCrop>false</ap:ScaleCrop>
  <ap:LinksUpToDate>false</ap:LinksUpToDate>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file>